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00" windowHeight="7425" activeTab="1"/>
  </bookViews>
  <sheets>
    <sheet name="Receita reestimada julho 2023" sheetId="8" r:id="rId1"/>
    <sheet name="Desp reestimada -liquid.-julho " sheetId="2" r:id="rId2"/>
    <sheet name="Dívida consolidada (2)" sheetId="7" r:id="rId3"/>
    <sheet name="Plan1" sheetId="4" r:id="rId4"/>
    <sheet name="Plan2" sheetId="5" r:id="rId5"/>
    <sheet name="Plan3" sheetId="6" r:id="rId6"/>
  </sheets>
  <definedNames>
    <definedName name="_xlnm._FilterDatabase" localSheetId="0" hidden="1">'Receita reestimada julho 2023'!$A$214:$F$216</definedName>
  </definedNames>
  <calcPr calcId="144525"/>
</workbook>
</file>

<file path=xl/sharedStrings.xml><?xml version="1.0" encoding="utf-8"?>
<sst xmlns="http://schemas.openxmlformats.org/spreadsheetml/2006/main" count="327" uniqueCount="316">
  <si>
    <t>RECEITA DE 2023- REESTIMADA PARA FINS DO LDO  2024</t>
  </si>
  <si>
    <t>BASE DE DADOS JULHO DE 2023</t>
  </si>
  <si>
    <t>RECEITA PREVISTA PARA 2023</t>
  </si>
  <si>
    <t>ARRECADADO ATÉ  JULHO DE 2023</t>
  </si>
  <si>
    <t>A ARRECADAR DE AGOSTO  A DEZEMBRO DE 2023</t>
  </si>
  <si>
    <t>TOTAL REESTIMADO</t>
  </si>
  <si>
    <t>DIFERENÇA A MAIOR/MENOR</t>
  </si>
  <si>
    <t>RECEITA DE  IMPOSTOS, TAXAS E CM</t>
  </si>
  <si>
    <t>IMPOSTOS</t>
  </si>
  <si>
    <t>IRRF - SERV</t>
  </si>
  <si>
    <t>IRRF CÂMARA</t>
  </si>
  <si>
    <t>IRRF-INAT-RPPS</t>
  </si>
  <si>
    <t>IRRF-PENS - PREF</t>
  </si>
  <si>
    <t>IRRF-PENS - RPPS</t>
  </si>
  <si>
    <t>IRRF-OUTROS RENDIMENTOS EXECUTIVO</t>
  </si>
  <si>
    <t>IRRF-OUTROS RENDIMENTOS LEGISLATIVO</t>
  </si>
  <si>
    <t>IPTU PRINCIPAL</t>
  </si>
  <si>
    <t>IPTU JUROS E MULTA</t>
  </si>
  <si>
    <t>IPTU DIVIDA ATIVA</t>
  </si>
  <si>
    <t>IPTI DIVIDA ATIVA - JUROS E MULTA</t>
  </si>
  <si>
    <t>ITBI PRINCIPAL</t>
  </si>
  <si>
    <t>ITBI JUROS E MULTA</t>
  </si>
  <si>
    <t>ITBI DIVIDA ATIVA</t>
  </si>
  <si>
    <t>ITBI DIVIDA ATIVA JUROS E MULTA</t>
  </si>
  <si>
    <t>ISSQN PRINCIPAL</t>
  </si>
  <si>
    <t>ISSQN JUROS E MULTA</t>
  </si>
  <si>
    <t>ISSQN DIVIDA ATIVA</t>
  </si>
  <si>
    <t>ISSQN DIVIDA ATIVA JUROS E MULTA</t>
  </si>
  <si>
    <t>TAXAS</t>
  </si>
  <si>
    <t>TAXA CONTROLE E FISCALIZAÇÃO AMBIENTAL PRINCIPAL</t>
  </si>
  <si>
    <t>TAXA CONTROLE E FISCALIZAÇÃO AMBIENTAL JUROS E MULTA</t>
  </si>
  <si>
    <t>TX FISCAL SANITÁRIA PRINCIPAL</t>
  </si>
  <si>
    <t>TX FISCAL SANITÁRIA JUROS E MULTA</t>
  </si>
  <si>
    <t>TX FISCAL SANITÁRIA DIVIDA ATIVA</t>
  </si>
  <si>
    <t>TX FISCAL SANITÁRIA DIVIDA ATIVA JUROS E MULTA</t>
  </si>
  <si>
    <t>TAXAS DE INSPEÇÃO, CONTROLE E FISCALIZAÇÃO PRINCIPAL</t>
  </si>
  <si>
    <t>TAXAS DE INSPEÇÃO, CONTROLE E FISCALIZAÇÃO JUROS E MULTA</t>
  </si>
  <si>
    <t>TAXAS DE INSPEÇÃO, CONTROLE E FISCALIZAÇÃO DIVIDA ATIVA</t>
  </si>
  <si>
    <t>TAXAS DE INSPEÇÃO, CONTROLE E FISCALIZAÇÃO DIVIDA ATIVA JUROS E MULTA</t>
  </si>
  <si>
    <t>TAXAS  DE SERVIÇOS URBANOS -PRINCIPAL</t>
  </si>
  <si>
    <t>TAXAS  DE SERVIÇOS URBANOS - JUROS E MULTA</t>
  </si>
  <si>
    <t>TAXAS  DE SERVIÇOS URBANOS - DIVIDA ATIVA</t>
  </si>
  <si>
    <t>TAXAS  DE SERVIÇOS URBANOS- DIVIDA ATIVA JUROS E MULTA</t>
  </si>
  <si>
    <t>TAXAS PELA PRESTAÇÃO DE SERVIÇOS PRINCIPAL</t>
  </si>
  <si>
    <t>TAXAS PELA PRESTAÇÃO DE SERVIÇOS JUROS E MULTA</t>
  </si>
  <si>
    <t>TAXAS PELA PRESTAÇÃO DE SERVIÇOS DIVIDA ATIVA</t>
  </si>
  <si>
    <t>TAXAS PELA PRESTAÇÃO DE SERVIÇOS DIVIDA ATIVA JUROS E MULTA</t>
  </si>
  <si>
    <t>CONTRIBUIÇÃO DE MELHORIA</t>
  </si>
  <si>
    <t>CONTRIBUIÇÃO DE MELHORIA PRINCIPAL</t>
  </si>
  <si>
    <t>CONTRIBUIÇÃO DE MELHORIA JUROS E MULTA</t>
  </si>
  <si>
    <t>CONTRIBUIÇÃO DE MELHORIA DIVIDA ATIVA</t>
  </si>
  <si>
    <t>CONTRIBUIÇÃO DE MELHORIA DIVIDA ATIVA JUROS E MULTA</t>
  </si>
  <si>
    <t>RECEITA CONTRIBUIÇÕES</t>
  </si>
  <si>
    <t>CONTR. SERV. ATIVO RPPS</t>
  </si>
  <si>
    <t>ILMUNINAÇÃO PÚBLICA</t>
  </si>
  <si>
    <t>RECEITA PATRIMONIAL</t>
  </si>
  <si>
    <t>OUTRAS RECEITAS IMOBILIÁRIAS - Principal</t>
  </si>
  <si>
    <t>OUTRAS RECEITAS IMOBILIÁRIAS - Multas e juros</t>
  </si>
  <si>
    <t>RECEITA MOBILIÁRIA)RENDIMENTOS)</t>
  </si>
  <si>
    <t>RENDIM. DO RPPS</t>
  </si>
  <si>
    <t>RECEITA DE SERVIÇOS</t>
  </si>
  <si>
    <t>SERVIÇOS ADMINISTRATIVOS E COMERCIAIS GERAIS PRINCIPAL</t>
  </si>
  <si>
    <t>SERVIÇOS ADMINISTRATIVOS E COMERCIAIS GERAIS JUROS E MULTA</t>
  </si>
  <si>
    <t>SERVIÇOS ADMINISTRATIVOS E COMERCIAIS GERAIS DIVIDA ATIVA</t>
  </si>
  <si>
    <t>SERVIÇOS ADMINISTRATIVOS E COMERCIAIS GERAIS DIVIDA ATIVA JUROS E MULTA</t>
  </si>
  <si>
    <t>INSCRIÇÃO EM CONCURSOS PUBLICOS</t>
  </si>
  <si>
    <t>SERVIÇOS DE REGISTRO, CERTIFICAÇÃO E FISCALIZAÇÃO-PRINCIPAL</t>
  </si>
  <si>
    <t>SERVIÇOS DE REGISTRO, CERTIFICAÇÃO E FISCALIZAÇÃO- JUROS E MULTAS</t>
  </si>
  <si>
    <t>SERVIÇOS DE REGISTRO, CERTIFICAÇÃO E FISCALIZAÇÃO-  DIVITA ATIVA</t>
  </si>
  <si>
    <t>SERVIÇOS DE REGISTRO, CERTIFICAÇÃO E FISCALIZAÇÃO-  DIVITA ATIVA JUROS E MULTA</t>
  </si>
  <si>
    <t>SERVIÇOS DE FORNMECIMENTO DE AGUA - PRINCIPAL</t>
  </si>
  <si>
    <t>SERVIÇOS DE FORNMECIMENTO DE AGUA -  JUROS E MULTA</t>
  </si>
  <si>
    <t>SERVIÇOS DE FORNMECIMENTO DE AGUA - DIVIDA ATIVA</t>
  </si>
  <si>
    <t>SERVIÇOS DE FORNMECIMENTO DE AGUA -  DIVIDA ATIVA JUROS E MULTA</t>
  </si>
  <si>
    <t>OUTROS SERVIÇOS - PRINCIPAL</t>
  </si>
  <si>
    <t>OUTROS SERVIÇOS - JUROS E MULTA</t>
  </si>
  <si>
    <t>OUTROS SERVIÇOS - DIVIDA ATIVA</t>
  </si>
  <si>
    <t>OUTROS SERVIÇOS - DIVIDA ATIVA JUROS E MULTA</t>
  </si>
  <si>
    <t>TRANSF CORRENTES</t>
  </si>
  <si>
    <t>TRANSFERENCIAS DA UNIAO</t>
  </si>
  <si>
    <t>FPM cota mensal</t>
  </si>
  <si>
    <t>FPM cota extra</t>
  </si>
  <si>
    <t>ITR</t>
  </si>
  <si>
    <t>FUNDO ESPECIAL</t>
  </si>
  <si>
    <t>TRANSF UNIÃO SUS</t>
  </si>
  <si>
    <t>ATENÇÃO PRIMÁRIA 600-12</t>
  </si>
  <si>
    <t>ATENÇÃO ALTA E MEIA COMPLEXIDADE  600-01</t>
  </si>
  <si>
    <t>ATENÇÃO VIGILÂNCIA EM SAÚDE  600-02</t>
  </si>
  <si>
    <t>AGNESTES DE SAÚDE  E ENDEMIAS 604-01</t>
  </si>
  <si>
    <t>ATENÇÃO FARMACÊUTICA BÁSICA 600-03</t>
  </si>
  <si>
    <t>TRANSF FNAS</t>
  </si>
  <si>
    <t>IGD BOLSA FAMÍLIA 660-03</t>
  </si>
  <si>
    <t>PAIF  660-01</t>
  </si>
  <si>
    <t>Piso Básico Variável- SCFV 660-02</t>
  </si>
  <si>
    <t>IGD- AUXÍLIO bRASIL  660-07</t>
  </si>
  <si>
    <t>IGD SUAS 660-04</t>
  </si>
  <si>
    <t>TRANSF FNDE</t>
  </si>
  <si>
    <t>SALÁRIO EDUCAÇÃO</t>
  </si>
  <si>
    <t>PNAE -ENS. FUNDA</t>
  </si>
  <si>
    <t>PNAC - CRECHE</t>
  </si>
  <si>
    <t>PNAP - PRÉ-ESCOLA</t>
  </si>
  <si>
    <t>PNAE -EDUCAÇÃO ESPECIAL</t>
  </si>
  <si>
    <t>PNATE ENS. FUNDAM</t>
  </si>
  <si>
    <t>PNATE - EDU. INFANTIL</t>
  </si>
  <si>
    <t>PNATE - ENS. MÉDIO</t>
  </si>
  <si>
    <t>OUTRAS TRANSFERENCIAS DA UNIAO</t>
  </si>
  <si>
    <t>Transferências ICMS Desoneração 176/2020</t>
  </si>
  <si>
    <t>Transferências de Recursos Defesa Civil</t>
  </si>
  <si>
    <t>TRANSF  DO ESTADO</t>
  </si>
  <si>
    <t>ICMS</t>
  </si>
  <si>
    <t>IPVA</t>
  </si>
  <si>
    <t>IPI-EXP</t>
  </si>
  <si>
    <t>CIDE</t>
  </si>
  <si>
    <t>TRANSF ESTADO SUS</t>
  </si>
  <si>
    <t>FARM BÁSICA ESTADO-  621-02</t>
  </si>
  <si>
    <t>SAMU/SALVAR ESTADO-  621-04</t>
  </si>
  <si>
    <t>RECURSOS PIAPS SÓCIODEMOGRÁFICO 621-01</t>
  </si>
  <si>
    <t>RECURSOS PIAPS- INCENTIVOS EQUIPES APS 621-10</t>
  </si>
  <si>
    <t>IPIDEMIOLOGIA E VACINAÇÃO 621-09</t>
  </si>
  <si>
    <t>OUTRAS TARSFERÊNCIAS DOS ESTADOS</t>
  </si>
  <si>
    <t>TRANSPORTE ESCOLAR EDUCAÇÃO BÁSICA</t>
  </si>
  <si>
    <t>FEAS -  661-01</t>
  </si>
  <si>
    <t>ICMS COMPENSAÇÕES LC 194/2022 0502</t>
  </si>
  <si>
    <t>OUTRAS TRANSFERÊNCIAS DOS ESTADOS</t>
  </si>
  <si>
    <t>MULTA TRÂNSITO</t>
  </si>
  <si>
    <t>FUNDEF/FUNDEB</t>
  </si>
  <si>
    <t>OUTRAS TRANSFERÊNCIAS</t>
  </si>
  <si>
    <t>IRRF - COFRON</t>
  </si>
  <si>
    <t>TRANSFERENCIAS DE PESSOAS FISICAS</t>
  </si>
  <si>
    <t>TRANSFERÊNCIAS DE INSTITUIÇÕES PRIVADAS</t>
  </si>
  <si>
    <t>OUTRAS REC. CORRENTES</t>
  </si>
  <si>
    <t>MULTAS ADMINISTRATIVAS, CONTRATUAIS E JUDICIAIS</t>
  </si>
  <si>
    <t>MULTAS PREVISTAS EM LEGISLAÇÃO ESPECIFICA PRINCIPAL</t>
  </si>
  <si>
    <t>MULTAS PREVISTAS EM LEGISLAÇÃO ESPECIFICA MULTAS E JUROS</t>
  </si>
  <si>
    <t>MULTAS PREVISTAS EM LEGISLAÇÃO ESPECIFICA DIVIDA ATIVA</t>
  </si>
  <si>
    <t>MULTAS PREVISTAS EM LEGISLAÇÃO ESPECIFICA DIVIDA ATIVA JUROS E MULTAS</t>
  </si>
  <si>
    <t>MULTAS POR DANOS AMBIENTAIS PRINCIPAL 2860</t>
  </si>
  <si>
    <t>MULTAS POR DANOS AMBIENTAIS- JUROS E MULTAS 2860</t>
  </si>
  <si>
    <t>MULTAS POR DANOS AMBIENTAIS - DIVIDA ATIVA 2860</t>
  </si>
  <si>
    <t>MULTAS POR DANOS AMBIENTAIS DIVIDA ATIVA JUROS E MULTAS 2860</t>
  </si>
  <si>
    <t>MULTAS E JUROS PREVISTOS EM CONTRATOS - PRINCIPAL</t>
  </si>
  <si>
    <t>MULTAS E JUROS PREVISTOS EM CONTRATOS -MULTAS E JUROS</t>
  </si>
  <si>
    <t>MULTAS E JUROS PREVISTOS EM CONTRATOS -DIVIDA ATIVA</t>
  </si>
  <si>
    <t>MULTAS E JUROS PREVISTOS EM CONTRATOS -DIVIDA ATIVA MULTAS E JUROS</t>
  </si>
  <si>
    <t>INDENIZAÇÕES, RESTITUIÇÕES E RESSARCIMENTOS</t>
  </si>
  <si>
    <t>INDENIZAÇÕES</t>
  </si>
  <si>
    <t>INDENIZAÇÕES POR DANOS CAUSADOS AO PATRIMONIO PUBLICO</t>
  </si>
  <si>
    <t>OUTRAS INDENIZAÇÕES PRINCIPAL</t>
  </si>
  <si>
    <t>OUTRAS INDENIZAÇÕES MULTAS E JUROS</t>
  </si>
  <si>
    <t>OUTRAS INDENIZAÇÕES  DIVIDA ATIVA</t>
  </si>
  <si>
    <t>OUTRAS INDENIZAÇÕES  MULTAS E JUROS DIVIDA ATIVA</t>
  </si>
  <si>
    <t>RESTITUIÇÕES</t>
  </si>
  <si>
    <t>RESTITUIÇÕES PRINCIPAL</t>
  </si>
  <si>
    <t>PROG. TROCA-TROCA PRINCIPAL</t>
  </si>
  <si>
    <t>RESTITUIÇÕES CONSTRUÇÃO DE CASAS E TERRENOS PRINCIPAL</t>
  </si>
  <si>
    <t>RESTUITUIÇÕES TRANSPORTE ESCOLAR</t>
  </si>
  <si>
    <t>RESTITUIÇÕES DE AUXILIOS</t>
  </si>
  <si>
    <t>RESTITUIÇÕES  MULTAS E JUROS</t>
  </si>
  <si>
    <t>PROGRAMA TROCA TROCA  MULTAS E JUROS</t>
  </si>
  <si>
    <t>RESTITUIÇÕES CONSTRUÇÃO DE CASAS E TERRENOS MULTAS E JUROS</t>
  </si>
  <si>
    <t>RESTITUIÇÕES  DIVIDA ATIVA</t>
  </si>
  <si>
    <t>PROGRAMA TROCA TROCA  DIVIDA ATIVA</t>
  </si>
  <si>
    <t>RESTITUIÇÃO DE AUXILIOS DIVIDA ATIVA</t>
  </si>
  <si>
    <t>RESTITUIÇÕES CONSTRUÇÃO DE CASAS E TERRENOS DIVIDA ATIVA</t>
  </si>
  <si>
    <t>RESTITUIÇÕES SERVIÇOS DE COMUNICAÇÕES DIVIDA ATIVA</t>
  </si>
  <si>
    <t>RESTITUIÇÕES  DIVIDA ATIVA MULTAS E JUROS</t>
  </si>
  <si>
    <t>PROGRAMA TROCA TROCA  DIVIDA ATIVA MULTAS E JUROS</t>
  </si>
  <si>
    <t>RESTITUIÇÃO DE AUXILIOS DIVIDA ATIVA MULTAS E JUROS</t>
  </si>
  <si>
    <t>RESTITUIÇÕES CONSTRUÇÃO DE CASAS E TERRENOS DIVIDA ATIVA MULTAS E JUROS</t>
  </si>
  <si>
    <t>RESTITUIÇÕES SERVIÇOS DE COMUNICAÇÕES DIVIDA ATIVA MULTAS E JUROS</t>
  </si>
  <si>
    <t>DEMAIS RECEITAS CORRENTES</t>
  </si>
  <si>
    <t>COMPENSAÇÃO FINANCEIRA ENTRE REGIMES</t>
  </si>
  <si>
    <t>ONUS SUCUMBENCIA PRINCIPAL  899-01</t>
  </si>
  <si>
    <t>ONUS SUCUMBENCIA MULTAS E JUROS  899.01</t>
  </si>
  <si>
    <t>ONUS SUCUMBENCIA DIVIDA ATIVA  899,01</t>
  </si>
  <si>
    <t>ONUS SUCUMBENCIA DÍVIDA ATIVA MULTAS E JUROS 899,01</t>
  </si>
  <si>
    <t>OUTRAS RECEITAS - Principal</t>
  </si>
  <si>
    <t>OUTRAS RECEITAS- MULTAS E JUROS</t>
  </si>
  <si>
    <t>RECEITAS INTRAORÇAMENTÁRIAS</t>
  </si>
  <si>
    <t>CONTR. PATRONAL P/ RPPS</t>
  </si>
  <si>
    <t>AMORTIZAÇÃO PASSIVO ATUARIAL</t>
  </si>
  <si>
    <t>RECEITA DE CAPITAL</t>
  </si>
  <si>
    <t>ALIENAÇÃO DE BENS</t>
  </si>
  <si>
    <t>ALIENAÇÃO BENS MÓVEIS</t>
  </si>
  <si>
    <t>ALIENAÇÃO BENS IMÓVEIS</t>
  </si>
  <si>
    <t>AMORTIZAÇÃO DE EMPRÉSTIMOS</t>
  </si>
  <si>
    <t>AMORTIZAÇÃO DE EMPRÉSTIMOS PRINCIPAL</t>
  </si>
  <si>
    <t>AMORTIZAÇÃO DE EMPRÉSTIMOS MULTAS E JUROS</t>
  </si>
  <si>
    <t>AMORTIZAÇÃO DE EMPRÉSTIMOS DIVIDA ATIVA</t>
  </si>
  <si>
    <t>AMORTIZAÇÃO DE EMPRÉSTIMOS DIVIDA ATIVA-MULTAS E JUROS</t>
  </si>
  <si>
    <t>TRANSF. CAPITAL</t>
  </si>
  <si>
    <t>TRANSFERENCIAS DE CAPITAL UNIAO</t>
  </si>
  <si>
    <t>CONSTRUCAO DE CENTRAL DE TRIAGEM E COMPOSTAGEM</t>
  </si>
  <si>
    <t>CRECHE DA COMUNIDADE</t>
  </si>
  <si>
    <t>PAVIMENTAÇÃO DE ESTRADAS VICINAIS  932084/2022 mapa</t>
  </si>
  <si>
    <t>PAVIMENTAÇÃO CONVENIO 912780/21</t>
  </si>
  <si>
    <t>MODERNIZAÇÃO DE QUADRA DE ESPORTES  930957/2022</t>
  </si>
  <si>
    <t>TRANSF DE CAPITAL ESTADO</t>
  </si>
  <si>
    <t>PAVIMENTAÇÃO PROGRAMA PAVIMENTA</t>
  </si>
  <si>
    <t>CONSULTA POPULAR 2021/2022</t>
  </si>
  <si>
    <t>PROGRAMA AVANÇAR NA AGROPECUARIA</t>
  </si>
  <si>
    <t>OUTRAS REC DE CAPITAL</t>
  </si>
  <si>
    <t>REMUNERAÇÃO DE DEPOSITOS BANCARIOS</t>
  </si>
  <si>
    <t>RECEITAS DE CAPITAL INTRAORÇAMENTÁRIAS</t>
  </si>
  <si>
    <t xml:space="preserve">DEDUÇÃO RECEITA </t>
  </si>
  <si>
    <t>DEDUÇÃO DA RECEITA CORRENTE</t>
  </si>
  <si>
    <t>DEDUÇÕES DE TRANSFERÊNCIAS</t>
  </si>
  <si>
    <t>DEDUÇÕES DAS TRANSFERÊNCIAS CORRENTES</t>
  </si>
  <si>
    <t>DEMAIS DEDUÇÕES</t>
  </si>
  <si>
    <t>DEDUÇÕES IMPOSTOS, TAXAS E CM</t>
  </si>
  <si>
    <t>DEDUÇÕES RECEITAS DE SERVICOS</t>
  </si>
  <si>
    <t>DEDUÇÕES OUTRAS RECEITAS CORRENTES</t>
  </si>
  <si>
    <t>DEDUÇÕES RECEITAS DE CAPITAL</t>
  </si>
  <si>
    <t>ALIENAÇÃO DE TERRENOS</t>
  </si>
  <si>
    <t>OUTRAS RECEITAS DE CAPITAL</t>
  </si>
  <si>
    <t>TOTAL GERAL</t>
  </si>
  <si>
    <t>RPPS</t>
  </si>
  <si>
    <t>arrecadado</t>
  </si>
  <si>
    <t>superávit</t>
  </si>
  <si>
    <t>previsto</t>
  </si>
  <si>
    <t>DESPESA REESTIMADA - LIQUIDADA  PARA FINS DA ELABORAÇÃO DO LDO 2024</t>
  </si>
  <si>
    <t>BASE DE DADOS - JULHO DE 2023</t>
  </si>
  <si>
    <t>DESPESA FIXADA ATUALIZADA PARA 2023</t>
  </si>
  <si>
    <t>DESPESA EMPENHADA ATÉ JULHO DE 2023</t>
  </si>
  <si>
    <t>DESPESA ESTIMADA/EMPENHADA DE AGOSTO A DEZEMBRO DE 2023</t>
  </si>
  <si>
    <t>TOTAL ESTIMADO/EMPENHADO ATÉ DEZEMBRO     2023</t>
  </si>
  <si>
    <t>DESPESA LIQUIDADA ATÉ JULHO DE 2023</t>
  </si>
  <si>
    <t>DESPESA ESTIMADA/LIQUIDADA DE AGOSTO A DEZEMBRO DE 2023</t>
  </si>
  <si>
    <t>DESPESA REESTIMADA - LIQUIDADA -ATÉ DEZEMBRO DE 2023</t>
  </si>
  <si>
    <t>DIFERENÇA DA LIQUIDADO EM RELAÇÃO AO ORÇAMENTO ATUALIZADO</t>
  </si>
  <si>
    <t>DESPESAS CORRENTE</t>
  </si>
  <si>
    <t>Pessoal e Encargos Sociais</t>
  </si>
  <si>
    <t>Venctos  e vantagens fixas -HCSC</t>
  </si>
  <si>
    <t>Obrigações Patronais - HCSC</t>
  </si>
  <si>
    <t>Rateio a Consórcios Públicos</t>
  </si>
  <si>
    <t>Aposentadorias</t>
  </si>
  <si>
    <t>Pensões  RPPS</t>
  </si>
  <si>
    <t>Contratação por tempo determinado</t>
  </si>
  <si>
    <t>Venctos  e vantagens fixas - civil</t>
  </si>
  <si>
    <t>Venctos  e vantagens fixas - civil - RPPS</t>
  </si>
  <si>
    <t>Obrigações Patronais</t>
  </si>
  <si>
    <t>Outras Despesas Variáveis-P.Civil</t>
  </si>
  <si>
    <t>Indenizações e Restituições</t>
  </si>
  <si>
    <t>Sentenças Judiciais</t>
  </si>
  <si>
    <t>Operações - Intra-orçamentárias</t>
  </si>
  <si>
    <t>Contribuições Patronais- rpps</t>
  </si>
  <si>
    <t>Juros e Encargos da Dívida</t>
  </si>
  <si>
    <t>Juros e Encargos por Contrato</t>
  </si>
  <si>
    <t>Outros Encargos s/ a Dívida</t>
  </si>
  <si>
    <t xml:space="preserve"> </t>
  </si>
  <si>
    <t>Outras Despesas Correntes</t>
  </si>
  <si>
    <t>Transferências</t>
  </si>
  <si>
    <t>Indenizações e Restituições a  União</t>
  </si>
  <si>
    <t>Contribuições  ao Estado</t>
  </si>
  <si>
    <t>Indenizações e Restituições ao Estado</t>
  </si>
  <si>
    <t>Contribuições a instituições privadas</t>
  </si>
  <si>
    <t>Subvenções Sociais</t>
  </si>
  <si>
    <t>Contribuições - Consórcio</t>
  </si>
  <si>
    <t>Aplicações Diretas</t>
  </si>
  <si>
    <t>Outros benefícios assistenciais</t>
  </si>
  <si>
    <t>Diárias-Pessoal Civil</t>
  </si>
  <si>
    <t>Diárias-Pessoal Civil - RPPS</t>
  </si>
  <si>
    <t>Auxílio a Estudantes</t>
  </si>
  <si>
    <t>Material de Consumo</t>
  </si>
  <si>
    <t>Premiações Culturais</t>
  </si>
  <si>
    <t>Material de Distribuição Gratuita</t>
  </si>
  <si>
    <t>Passagens e Despesas c/ locomoção</t>
  </si>
  <si>
    <t>Passagens e Desp C/ LOCOM - RPPS</t>
  </si>
  <si>
    <t>outras despesas de pessoal terceirização</t>
  </si>
  <si>
    <t>Serviços de Consultoria</t>
  </si>
  <si>
    <t>Outros Serv. Terceiros - P. Física</t>
  </si>
  <si>
    <t>Outros Serv. Terceiros - P. Jurídica</t>
  </si>
  <si>
    <t>Outros Serv. Terceiros - P. J- RPPS</t>
  </si>
  <si>
    <t>Compensações Financeiras a Regimes de Previdência</t>
  </si>
  <si>
    <t>Serviços de tecnologia da informção</t>
  </si>
  <si>
    <t>Contribuições- autonomia Financ</t>
  </si>
  <si>
    <t>Subvenções Econômicas</t>
  </si>
  <si>
    <t>Auxílio-Alimentação</t>
  </si>
  <si>
    <t>Obrigações Tributárias e Contrib</t>
  </si>
  <si>
    <t>Outros Aux. Financ a P Física</t>
  </si>
  <si>
    <t>Pensões Especiais</t>
  </si>
  <si>
    <t>despesas de exercícios anteriores</t>
  </si>
  <si>
    <t>.</t>
  </si>
  <si>
    <t>Indenizações e Restituições- RPPS</t>
  </si>
  <si>
    <t>aplic decorrentes de operações consorcio</t>
  </si>
  <si>
    <t>Despesa de Capital</t>
  </si>
  <si>
    <t>Investimentos</t>
  </si>
  <si>
    <t>Inden e Rest a União</t>
  </si>
  <si>
    <t>Transf a Estados e DF</t>
  </si>
  <si>
    <t>Obras e Instalações</t>
  </si>
  <si>
    <t>Equipamentos e Material Permanente</t>
  </si>
  <si>
    <t>Aquisição de Imóveis</t>
  </si>
  <si>
    <t>APLICAÇÕES INTRA</t>
  </si>
  <si>
    <t>INVERSÕES FINANCEIRAS</t>
  </si>
  <si>
    <t>Concessão de Emprést. E Financi</t>
  </si>
  <si>
    <t>Amortização da Dívida Pública</t>
  </si>
  <si>
    <t>Principal da Dívida por Contrato</t>
  </si>
  <si>
    <t>Reserva Contingência - RPPS</t>
  </si>
  <si>
    <t xml:space="preserve">Reserva Contingência </t>
  </si>
  <si>
    <t>despesa executada</t>
  </si>
  <si>
    <t>Despesa a menor</t>
  </si>
  <si>
    <t>despesa orçada</t>
  </si>
  <si>
    <t>Dívida Fundada</t>
  </si>
  <si>
    <t>saldo inicial</t>
  </si>
  <si>
    <t>Saldo em 31/07/2023</t>
  </si>
  <si>
    <t>Amortização estimada de agosto a  Dezembro de 2023</t>
  </si>
  <si>
    <t>SALDO EM          31/07/2023 ANTES DA ATUALIZAÇÃO</t>
  </si>
  <si>
    <t>Novas Dívidas</t>
  </si>
  <si>
    <t>Atualização</t>
  </si>
  <si>
    <t>Previsão de saldo em 31/12/2023</t>
  </si>
  <si>
    <t>Precatórios</t>
  </si>
  <si>
    <t xml:space="preserve">OPERAÇÃO DE CRÉDITO </t>
  </si>
  <si>
    <t>TOTAL DA DÍVIDA</t>
  </si>
  <si>
    <t>Projeção de depósitos e consignações</t>
  </si>
  <si>
    <t xml:space="preserve">Não reajustado pelo fato  IGPM  para o ano </t>
  </si>
  <si>
    <t>de 2023  , ter a previsão de  -3,44.</t>
  </si>
</sst>
</file>

<file path=xl/styles.xml><?xml version="1.0" encoding="utf-8"?>
<styleSheet xmlns="http://schemas.openxmlformats.org/spreadsheetml/2006/main">
  <numFmts count="7">
    <numFmt numFmtId="176" formatCode="_-* #,##0_-;\-* #,##0_-;_-* &quot;-&quot;_-;_-@_-"/>
    <numFmt numFmtId="177" formatCode="#,##0.00;\-#,##0.00"/>
    <numFmt numFmtId="178" formatCode="_-* #,##0.00_-;\-* #,##0.00_-;_-* &quot;-&quot;??_-;_-@_-"/>
    <numFmt numFmtId="179" formatCode="_-&quot;£&quot;* #,##0.00_-;\-&quot;£&quot;* #,##0.00_-;_-&quot;£&quot;* &quot;-&quot;??_-;_-@_-"/>
    <numFmt numFmtId="180" formatCode="_-&quot;£&quot;* #,##0_-;\-&quot;£&quot;* #,##0_-;_-&quot;£&quot;* &quot;-&quot;_-;_-@_-"/>
    <numFmt numFmtId="181" formatCode="&quot;R$&quot;#,##0.00;\-&quot;R$&quot;#,##0.00"/>
    <numFmt numFmtId="182" formatCode="#,##0.00;[Red]#,##0.00"/>
  </numFmts>
  <fonts count="29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8"/>
      <color theme="3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178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43" borderId="13" applyNumberFormat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0" fillId="46" borderId="19" applyNumberFormat="0" applyFont="0" applyAlignment="0" applyProtection="0">
      <alignment vertical="center"/>
    </xf>
    <xf numFmtId="0" fontId="1" fillId="0" borderId="0"/>
    <xf numFmtId="0" fontId="22" fillId="5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5" borderId="18" applyNumberFormat="0" applyAlignment="0" applyProtection="0">
      <alignment vertical="center"/>
    </xf>
    <xf numFmtId="0" fontId="17" fillId="44" borderId="17" applyNumberFormat="0" applyAlignment="0" applyProtection="0">
      <alignment vertical="center"/>
    </xf>
    <xf numFmtId="0" fontId="25" fillId="44" borderId="18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" fillId="0" borderId="0"/>
  </cellStyleXfs>
  <cellXfs count="222">
    <xf numFmtId="0" fontId="0" fillId="0" borderId="0" xfId="0"/>
    <xf numFmtId="0" fontId="1" fillId="0" borderId="0" xfId="50"/>
    <xf numFmtId="0" fontId="2" fillId="0" borderId="1" xfId="50" applyFont="1" applyBorder="1" applyAlignment="1">
      <alignment horizontal="center"/>
    </xf>
    <xf numFmtId="0" fontId="2" fillId="0" borderId="2" xfId="50" applyFont="1" applyBorder="1"/>
    <xf numFmtId="58" fontId="3" fillId="0" borderId="2" xfId="50" applyNumberFormat="1" applyFont="1" applyBorder="1" applyAlignment="1">
      <alignment horizontal="center" vertical="distributed"/>
    </xf>
    <xf numFmtId="0" fontId="3" fillId="0" borderId="2" xfId="50" applyFont="1" applyBorder="1" applyAlignment="1">
      <alignment horizontal="center" vertical="distributed"/>
    </xf>
    <xf numFmtId="0" fontId="3" fillId="2" borderId="2" xfId="50" applyFont="1" applyFill="1" applyBorder="1" applyAlignment="1">
      <alignment horizontal="center" vertical="distributed"/>
    </xf>
    <xf numFmtId="0" fontId="3" fillId="0" borderId="2" xfId="50" applyFont="1" applyBorder="1"/>
    <xf numFmtId="177" fontId="3" fillId="0" borderId="2" xfId="50" applyNumberFormat="1" applyFont="1" applyBorder="1"/>
    <xf numFmtId="177" fontId="3" fillId="0" borderId="2" xfId="14" applyNumberFormat="1" applyFont="1" applyBorder="1"/>
    <xf numFmtId="177" fontId="3" fillId="3" borderId="2" xfId="50" applyNumberFormat="1" applyFont="1" applyFill="1" applyBorder="1"/>
    <xf numFmtId="177" fontId="3" fillId="4" borderId="2" xfId="50" applyNumberFormat="1" applyFont="1" applyFill="1" applyBorder="1"/>
    <xf numFmtId="177" fontId="2" fillId="0" borderId="2" xfId="50" applyNumberFormat="1" applyFont="1" applyBorder="1"/>
    <xf numFmtId="177" fontId="2" fillId="5" borderId="2" xfId="50" applyNumberFormat="1" applyFont="1" applyFill="1" applyBorder="1"/>
    <xf numFmtId="0" fontId="2" fillId="0" borderId="2" xfId="50" applyFont="1" applyFill="1" applyBorder="1"/>
    <xf numFmtId="0" fontId="2" fillId="0" borderId="3" xfId="50" applyFont="1" applyBorder="1"/>
    <xf numFmtId="0" fontId="2" fillId="0" borderId="4" xfId="50" applyFont="1" applyBorder="1"/>
    <xf numFmtId="177" fontId="2" fillId="0" borderId="2" xfId="50" applyNumberFormat="1" applyFont="1" applyFill="1" applyBorder="1"/>
    <xf numFmtId="0" fontId="2" fillId="0" borderId="5" xfId="50" applyFont="1" applyFill="1" applyBorder="1"/>
    <xf numFmtId="0" fontId="1" fillId="0" borderId="0" xfId="50" applyFill="1" applyBorder="1"/>
    <xf numFmtId="177" fontId="1" fillId="0" borderId="0" xfId="50" applyNumberFormat="1"/>
    <xf numFmtId="0" fontId="1" fillId="0" borderId="6" xfId="50" applyBorder="1"/>
    <xf numFmtId="0" fontId="1" fillId="0" borderId="7" xfId="50" applyBorder="1"/>
    <xf numFmtId="0" fontId="1" fillId="0" borderId="8" xfId="50" applyBorder="1"/>
    <xf numFmtId="10" fontId="1" fillId="0" borderId="9" xfId="50" applyNumberFormat="1" applyFont="1" applyBorder="1" applyAlignment="1">
      <alignment horizontal="left"/>
    </xf>
    <xf numFmtId="0" fontId="1" fillId="0" borderId="1" xfId="50" applyBorder="1"/>
    <xf numFmtId="10" fontId="1" fillId="0" borderId="10" xfId="50" applyNumberFormat="1" applyBorder="1"/>
    <xf numFmtId="0" fontId="1" fillId="0" borderId="0" xfId="50" applyBorder="1"/>
    <xf numFmtId="0" fontId="1" fillId="0" borderId="0" xfId="50" applyFont="1" applyBorder="1"/>
    <xf numFmtId="0" fontId="1" fillId="0" borderId="0" xfId="14"/>
    <xf numFmtId="0" fontId="4" fillId="0" borderId="0" xfId="14" applyFont="1" applyAlignment="1">
      <alignment horizontal="center"/>
    </xf>
    <xf numFmtId="0" fontId="5" fillId="0" borderId="2" xfId="14" applyFont="1" applyBorder="1" applyAlignment="1">
      <alignment horizontal="center" vertical="distributed"/>
    </xf>
    <xf numFmtId="0" fontId="5" fillId="6" borderId="2" xfId="14" applyFont="1" applyFill="1" applyBorder="1" applyAlignment="1">
      <alignment horizontal="center" vertical="distributed"/>
    </xf>
    <xf numFmtId="0" fontId="5" fillId="7" borderId="2" xfId="14" applyFont="1" applyFill="1" applyBorder="1" applyAlignment="1">
      <alignment horizontal="center" vertical="distributed"/>
    </xf>
    <xf numFmtId="0" fontId="5" fillId="5" borderId="2" xfId="14" applyFont="1" applyFill="1" applyBorder="1" applyAlignment="1">
      <alignment horizontal="center" vertical="distributed"/>
    </xf>
    <xf numFmtId="0" fontId="5" fillId="8" borderId="2" xfId="14" applyFont="1" applyFill="1" applyBorder="1" applyAlignment="1">
      <alignment horizontal="center" vertical="distributed"/>
    </xf>
    <xf numFmtId="0" fontId="5" fillId="0" borderId="2" xfId="14" applyFont="1" applyBorder="1"/>
    <xf numFmtId="177" fontId="5" fillId="0" borderId="2" xfId="14" applyNumberFormat="1" applyFont="1" applyBorder="1"/>
    <xf numFmtId="177" fontId="5" fillId="7" borderId="2" xfId="14" applyNumberFormat="1" applyFont="1" applyFill="1" applyBorder="1"/>
    <xf numFmtId="0" fontId="5" fillId="9" borderId="2" xfId="14" applyFont="1" applyFill="1" applyBorder="1"/>
    <xf numFmtId="177" fontId="5" fillId="9" borderId="2" xfId="14" applyNumberFormat="1" applyFont="1" applyFill="1" applyBorder="1"/>
    <xf numFmtId="0" fontId="1" fillId="0" borderId="2" xfId="14" applyFont="1" applyBorder="1"/>
    <xf numFmtId="177" fontId="1" fillId="0" borderId="2" xfId="14" applyNumberFormat="1" applyFont="1" applyBorder="1"/>
    <xf numFmtId="177" fontId="1" fillId="7" borderId="2" xfId="14" applyNumberFormat="1" applyFont="1" applyFill="1" applyBorder="1"/>
    <xf numFmtId="177" fontId="1" fillId="0" borderId="2" xfId="14" applyNumberFormat="1" applyBorder="1"/>
    <xf numFmtId="0" fontId="1" fillId="10" borderId="2" xfId="14" applyFont="1" applyFill="1" applyBorder="1"/>
    <xf numFmtId="177" fontId="1" fillId="10" borderId="2" xfId="14" applyNumberFormat="1" applyFill="1" applyBorder="1"/>
    <xf numFmtId="177" fontId="1" fillId="10" borderId="2" xfId="14" applyNumberFormat="1" applyFont="1" applyFill="1" applyBorder="1"/>
    <xf numFmtId="177" fontId="1" fillId="7" borderId="2" xfId="14" applyNumberFormat="1" applyFill="1" applyBorder="1"/>
    <xf numFmtId="177" fontId="5" fillId="4" borderId="2" xfId="14" applyNumberFormat="1" applyFont="1" applyFill="1" applyBorder="1"/>
    <xf numFmtId="0" fontId="6" fillId="0" borderId="2" xfId="14" applyFont="1" applyBorder="1"/>
    <xf numFmtId="0" fontId="1" fillId="4" borderId="2" xfId="14" applyFont="1" applyFill="1" applyBorder="1"/>
    <xf numFmtId="177" fontId="1" fillId="4" borderId="2" xfId="14" applyNumberFormat="1" applyFill="1" applyBorder="1"/>
    <xf numFmtId="177" fontId="1" fillId="4" borderId="2" xfId="14" applyNumberFormat="1" applyFont="1" applyFill="1" applyBorder="1"/>
    <xf numFmtId="0" fontId="1" fillId="0" borderId="2" xfId="14" applyBorder="1"/>
    <xf numFmtId="177" fontId="5" fillId="11" borderId="2" xfId="14" applyNumberFormat="1" applyFont="1" applyFill="1" applyBorder="1"/>
    <xf numFmtId="0" fontId="5" fillId="12" borderId="2" xfId="14" applyFont="1" applyFill="1" applyBorder="1" applyAlignment="1">
      <alignment horizontal="center" vertical="distributed"/>
    </xf>
    <xf numFmtId="177" fontId="1" fillId="5" borderId="2" xfId="14" applyNumberFormat="1" applyFill="1" applyBorder="1"/>
    <xf numFmtId="177" fontId="1" fillId="0" borderId="2" xfId="14" applyNumberFormat="1" applyFill="1" applyBorder="1"/>
    <xf numFmtId="177" fontId="1" fillId="9" borderId="11" xfId="14" applyNumberFormat="1" applyFill="1" applyBorder="1"/>
    <xf numFmtId="177" fontId="1" fillId="6" borderId="11" xfId="14" applyNumberFormat="1" applyFill="1" applyBorder="1"/>
    <xf numFmtId="177" fontId="1" fillId="7" borderId="8" xfId="14" applyNumberFormat="1" applyFill="1" applyBorder="1"/>
    <xf numFmtId="177" fontId="1" fillId="12" borderId="11" xfId="14" applyNumberFormat="1" applyFill="1" applyBorder="1"/>
    <xf numFmtId="0" fontId="5" fillId="0" borderId="0" xfId="14" applyFont="1" applyFill="1" applyBorder="1"/>
    <xf numFmtId="177" fontId="5" fillId="9" borderId="12" xfId="14" applyNumberFormat="1" applyFont="1" applyFill="1" applyBorder="1"/>
    <xf numFmtId="177" fontId="5" fillId="6" borderId="12" xfId="14" applyNumberFormat="1" applyFont="1" applyFill="1" applyBorder="1"/>
    <xf numFmtId="177" fontId="5" fillId="7" borderId="10" xfId="14" applyNumberFormat="1" applyFont="1" applyFill="1" applyBorder="1"/>
    <xf numFmtId="177" fontId="5" fillId="12" borderId="12" xfId="14" applyNumberFormat="1" applyFont="1" applyFill="1" applyBorder="1"/>
    <xf numFmtId="177" fontId="1" fillId="0" borderId="0" xfId="14" applyNumberFormat="1"/>
    <xf numFmtId="0" fontId="1" fillId="13" borderId="0" xfId="14" applyFill="1"/>
    <xf numFmtId="181" fontId="1" fillId="0" borderId="0" xfId="14" applyNumberFormat="1"/>
    <xf numFmtId="0" fontId="1" fillId="0" borderId="11" xfId="14" applyFill="1" applyBorder="1"/>
    <xf numFmtId="177" fontId="5" fillId="0" borderId="12" xfId="14" applyNumberFormat="1" applyFont="1" applyFill="1" applyBorder="1"/>
    <xf numFmtId="0" fontId="1" fillId="10" borderId="0" xfId="14" applyFill="1"/>
    <xf numFmtId="0" fontId="1" fillId="4" borderId="0" xfId="14" applyFill="1"/>
    <xf numFmtId="0" fontId="1" fillId="0" borderId="0" xfId="0" applyFont="1" applyFill="1" applyAlignment="1"/>
    <xf numFmtId="0" fontId="4" fillId="0" borderId="5" xfId="14" applyFont="1" applyBorder="1" applyAlignment="1">
      <alignment horizontal="center"/>
    </xf>
    <xf numFmtId="0" fontId="4" fillId="0" borderId="3" xfId="14" applyFont="1" applyBorder="1" applyAlignment="1">
      <alignment horizontal="center"/>
    </xf>
    <xf numFmtId="0" fontId="4" fillId="0" borderId="4" xfId="14" applyFont="1" applyBorder="1" applyAlignment="1">
      <alignment horizontal="center"/>
    </xf>
    <xf numFmtId="0" fontId="5" fillId="0" borderId="2" xfId="14" applyFont="1" applyBorder="1" applyAlignment="1">
      <alignment horizontal="center" vertical="center"/>
    </xf>
    <xf numFmtId="0" fontId="1" fillId="0" borderId="2" xfId="14" applyBorder="1" applyAlignment="1">
      <alignment horizontal="center" vertical="distributed"/>
    </xf>
    <xf numFmtId="0" fontId="5" fillId="4" borderId="2" xfId="14" applyFont="1" applyFill="1" applyBorder="1" applyAlignment="1">
      <alignment horizontal="center" vertical="distributed"/>
    </xf>
    <xf numFmtId="0" fontId="1" fillId="4" borderId="0" xfId="14" applyFill="1" applyAlignment="1">
      <alignment horizontal="center" vertical="distributed"/>
    </xf>
    <xf numFmtId="0" fontId="5" fillId="10" borderId="2" xfId="14" applyFont="1" applyFill="1" applyBorder="1"/>
    <xf numFmtId="177" fontId="5" fillId="10" borderId="2" xfId="14" applyNumberFormat="1" applyFont="1" applyFill="1" applyBorder="1" applyAlignment="1">
      <alignment horizontal="right" vertical="distributed"/>
    </xf>
    <xf numFmtId="177" fontId="5" fillId="4" borderId="0" xfId="14" applyNumberFormat="1" applyFont="1" applyFill="1" applyAlignment="1">
      <alignment horizontal="right" vertical="distributed"/>
    </xf>
    <xf numFmtId="0" fontId="1" fillId="4" borderId="2" xfId="14" applyFill="1" applyBorder="1"/>
    <xf numFmtId="177" fontId="1" fillId="4" borderId="2" xfId="14" applyNumberFormat="1" applyFill="1" applyBorder="1" applyAlignment="1">
      <alignment horizontal="right"/>
    </xf>
    <xf numFmtId="177" fontId="1" fillId="0" borderId="2" xfId="14" applyNumberFormat="1" applyBorder="1" applyAlignment="1">
      <alignment horizontal="right"/>
    </xf>
    <xf numFmtId="177" fontId="5" fillId="4" borderId="2" xfId="14" applyNumberFormat="1" applyFont="1" applyFill="1" applyBorder="1" applyAlignment="1">
      <alignment horizontal="right"/>
    </xf>
    <xf numFmtId="177" fontId="1" fillId="4" borderId="0" xfId="14" applyNumberFormat="1" applyFill="1"/>
    <xf numFmtId="177" fontId="1" fillId="0" borderId="2" xfId="14" applyNumberFormat="1" applyFill="1" applyBorder="1" applyAlignment="1">
      <alignment horizontal="right"/>
    </xf>
    <xf numFmtId="0" fontId="1" fillId="10" borderId="2" xfId="14" applyFill="1" applyBorder="1"/>
    <xf numFmtId="177" fontId="1" fillId="10" borderId="2" xfId="14" applyNumberFormat="1" applyFill="1" applyBorder="1" applyAlignment="1">
      <alignment horizontal="right"/>
    </xf>
    <xf numFmtId="177" fontId="1" fillId="4" borderId="0" xfId="14" applyNumberFormat="1" applyFill="1" applyAlignment="1">
      <alignment horizontal="right"/>
    </xf>
    <xf numFmtId="177" fontId="5" fillId="10" borderId="2" xfId="14" applyNumberFormat="1" applyFont="1" applyFill="1" applyBorder="1" applyAlignment="1">
      <alignment horizontal="right"/>
    </xf>
    <xf numFmtId="177" fontId="5" fillId="4" borderId="0" xfId="14" applyNumberFormat="1" applyFont="1" applyFill="1" applyAlignment="1">
      <alignment horizontal="right"/>
    </xf>
    <xf numFmtId="177" fontId="5" fillId="13" borderId="2" xfId="14" applyNumberFormat="1" applyFont="1" applyFill="1" applyBorder="1" applyAlignment="1">
      <alignment horizontal="right"/>
    </xf>
    <xf numFmtId="177" fontId="5" fillId="0" borderId="2" xfId="14" applyNumberFormat="1" applyFont="1" applyFill="1" applyBorder="1" applyAlignment="1">
      <alignment horizontal="right"/>
    </xf>
    <xf numFmtId="177" fontId="1" fillId="4" borderId="2" xfId="14" applyNumberFormat="1" applyFont="1" applyFill="1" applyBorder="1" applyAlignment="1">
      <alignment horizontal="right"/>
    </xf>
    <xf numFmtId="0" fontId="5" fillId="14" borderId="2" xfId="14" applyFont="1" applyFill="1" applyBorder="1"/>
    <xf numFmtId="177" fontId="5" fillId="14" borderId="2" xfId="14" applyNumberFormat="1" applyFont="1" applyFill="1" applyBorder="1" applyAlignment="1">
      <alignment horizontal="right"/>
    </xf>
    <xf numFmtId="0" fontId="1" fillId="15" borderId="2" xfId="14" applyFill="1" applyBorder="1"/>
    <xf numFmtId="177" fontId="1" fillId="15" borderId="2" xfId="14" applyNumberFormat="1" applyFill="1" applyBorder="1" applyAlignment="1">
      <alignment horizontal="right"/>
    </xf>
    <xf numFmtId="177" fontId="5" fillId="15" borderId="2" xfId="14" applyNumberFormat="1" applyFont="1" applyFill="1" applyBorder="1" applyAlignment="1">
      <alignment horizontal="right"/>
    </xf>
    <xf numFmtId="177" fontId="1" fillId="15" borderId="2" xfId="14" applyNumberFormat="1" applyFill="1" applyBorder="1"/>
    <xf numFmtId="0" fontId="1" fillId="16" borderId="2" xfId="14" applyFill="1" applyBorder="1"/>
    <xf numFmtId="177" fontId="1" fillId="16" borderId="2" xfId="14" applyNumberFormat="1" applyFill="1" applyBorder="1" applyAlignment="1">
      <alignment horizontal="right"/>
    </xf>
    <xf numFmtId="0" fontId="1" fillId="17" borderId="2" xfId="14" applyFill="1" applyBorder="1"/>
    <xf numFmtId="177" fontId="1" fillId="17" borderId="2" xfId="14" applyNumberFormat="1" applyFill="1" applyBorder="1" applyAlignment="1">
      <alignment horizontal="right"/>
    </xf>
    <xf numFmtId="177" fontId="5" fillId="17" borderId="2" xfId="14" applyNumberFormat="1" applyFont="1" applyFill="1" applyBorder="1" applyAlignment="1">
      <alignment horizontal="right"/>
    </xf>
    <xf numFmtId="177" fontId="1" fillId="17" borderId="2" xfId="14" applyNumberFormat="1" applyFill="1" applyBorder="1"/>
    <xf numFmtId="182" fontId="1" fillId="4" borderId="2" xfId="14" applyNumberFormat="1" applyFill="1" applyBorder="1" applyAlignment="1">
      <alignment horizontal="right"/>
    </xf>
    <xf numFmtId="0" fontId="1" fillId="18" borderId="2" xfId="14" applyFill="1" applyBorder="1"/>
    <xf numFmtId="182" fontId="1" fillId="18" borderId="2" xfId="14" applyNumberFormat="1" applyFill="1" applyBorder="1" applyAlignment="1">
      <alignment horizontal="right"/>
    </xf>
    <xf numFmtId="177" fontId="1" fillId="18" borderId="2" xfId="14" applyNumberFormat="1" applyFill="1" applyBorder="1" applyAlignment="1">
      <alignment horizontal="right"/>
    </xf>
    <xf numFmtId="177" fontId="5" fillId="18" borderId="2" xfId="14" applyNumberFormat="1" applyFont="1" applyFill="1" applyBorder="1" applyAlignment="1">
      <alignment horizontal="right"/>
    </xf>
    <xf numFmtId="0" fontId="1" fillId="19" borderId="2" xfId="14" applyFill="1" applyBorder="1"/>
    <xf numFmtId="182" fontId="1" fillId="19" borderId="2" xfId="14" applyNumberFormat="1" applyFill="1" applyBorder="1" applyAlignment="1">
      <alignment horizontal="right"/>
    </xf>
    <xf numFmtId="177" fontId="1" fillId="20" borderId="2" xfId="14" applyNumberFormat="1" applyFill="1" applyBorder="1" applyAlignment="1">
      <alignment horizontal="right"/>
    </xf>
    <xf numFmtId="177" fontId="5" fillId="19" borderId="2" xfId="14" applyNumberFormat="1" applyFont="1" applyFill="1" applyBorder="1" applyAlignment="1">
      <alignment horizontal="right"/>
    </xf>
    <xf numFmtId="177" fontId="1" fillId="19" borderId="2" xfId="14" applyNumberFormat="1" applyFill="1" applyBorder="1"/>
    <xf numFmtId="0" fontId="1" fillId="21" borderId="2" xfId="14" applyFill="1" applyBorder="1"/>
    <xf numFmtId="182" fontId="1" fillId="21" borderId="2" xfId="14" applyNumberFormat="1" applyFill="1" applyBorder="1" applyAlignment="1">
      <alignment horizontal="right"/>
    </xf>
    <xf numFmtId="182" fontId="5" fillId="21" borderId="2" xfId="14" applyNumberFormat="1" applyFont="1" applyFill="1" applyBorder="1" applyAlignment="1">
      <alignment horizontal="right"/>
    </xf>
    <xf numFmtId="0" fontId="1" fillId="22" borderId="2" xfId="14" applyFill="1" applyBorder="1"/>
    <xf numFmtId="182" fontId="1" fillId="22" borderId="2" xfId="14" applyNumberFormat="1" applyFill="1" applyBorder="1" applyAlignment="1">
      <alignment horizontal="right"/>
    </xf>
    <xf numFmtId="177" fontId="1" fillId="11" borderId="2" xfId="14" applyNumberFormat="1" applyFill="1" applyBorder="1" applyAlignment="1">
      <alignment horizontal="right"/>
    </xf>
    <xf numFmtId="177" fontId="5" fillId="22" borderId="2" xfId="14" applyNumberFormat="1" applyFont="1" applyFill="1" applyBorder="1" applyAlignment="1">
      <alignment horizontal="right"/>
    </xf>
    <xf numFmtId="177" fontId="1" fillId="22" borderId="2" xfId="14" applyNumberFormat="1" applyFill="1" applyBorder="1"/>
    <xf numFmtId="0" fontId="1" fillId="23" borderId="2" xfId="14" applyFill="1" applyBorder="1"/>
    <xf numFmtId="182" fontId="1" fillId="23" borderId="2" xfId="14" applyNumberFormat="1" applyFill="1" applyBorder="1" applyAlignment="1">
      <alignment horizontal="right"/>
    </xf>
    <xf numFmtId="182" fontId="1" fillId="4" borderId="0" xfId="14" applyNumberFormat="1" applyFill="1" applyAlignment="1">
      <alignment horizontal="right"/>
    </xf>
    <xf numFmtId="0" fontId="1" fillId="24" borderId="2" xfId="14" applyFill="1" applyBorder="1"/>
    <xf numFmtId="182" fontId="1" fillId="24" borderId="2" xfId="14" applyNumberFormat="1" applyFill="1" applyBorder="1" applyAlignment="1">
      <alignment horizontal="right"/>
    </xf>
    <xf numFmtId="177" fontId="5" fillId="24" borderId="2" xfId="14" applyNumberFormat="1" applyFont="1" applyFill="1" applyBorder="1" applyAlignment="1">
      <alignment horizontal="right"/>
    </xf>
    <xf numFmtId="177" fontId="1" fillId="24" borderId="2" xfId="14" applyNumberFormat="1" applyFill="1" applyBorder="1"/>
    <xf numFmtId="0" fontId="1" fillId="4" borderId="0" xfId="0" applyFont="1" applyFill="1" applyAlignment="1"/>
    <xf numFmtId="0" fontId="1" fillId="25" borderId="2" xfId="14" applyFill="1" applyBorder="1"/>
    <xf numFmtId="182" fontId="1" fillId="25" borderId="2" xfId="14" applyNumberFormat="1" applyFill="1" applyBorder="1" applyAlignment="1">
      <alignment horizontal="right"/>
    </xf>
    <xf numFmtId="182" fontId="5" fillId="25" borderId="2" xfId="14" applyNumberFormat="1" applyFont="1" applyFill="1" applyBorder="1" applyAlignment="1">
      <alignment horizontal="right"/>
    </xf>
    <xf numFmtId="182" fontId="5" fillId="4" borderId="0" xfId="14" applyNumberFormat="1" applyFont="1" applyFill="1" applyAlignment="1">
      <alignment horizontal="right"/>
    </xf>
    <xf numFmtId="0" fontId="1" fillId="26" borderId="2" xfId="14" applyFill="1" applyBorder="1"/>
    <xf numFmtId="182" fontId="1" fillId="26" borderId="2" xfId="14" applyNumberFormat="1" applyFill="1" applyBorder="1" applyAlignment="1">
      <alignment horizontal="right"/>
    </xf>
    <xf numFmtId="177" fontId="5" fillId="26" borderId="2" xfId="14" applyNumberFormat="1" applyFont="1" applyFill="1" applyBorder="1" applyAlignment="1">
      <alignment horizontal="right"/>
    </xf>
    <xf numFmtId="177" fontId="1" fillId="26" borderId="2" xfId="14" applyNumberFormat="1" applyFill="1" applyBorder="1"/>
    <xf numFmtId="0" fontId="1" fillId="27" borderId="2" xfId="14" applyFill="1" applyBorder="1"/>
    <xf numFmtId="182" fontId="1" fillId="27" borderId="2" xfId="14" applyNumberFormat="1" applyFill="1" applyBorder="1" applyAlignment="1">
      <alignment horizontal="right"/>
    </xf>
    <xf numFmtId="182" fontId="5" fillId="27" borderId="2" xfId="14" applyNumberFormat="1" applyFont="1" applyFill="1" applyBorder="1" applyAlignment="1">
      <alignment horizontal="right"/>
    </xf>
    <xf numFmtId="0" fontId="1" fillId="28" borderId="2" xfId="14" applyFill="1" applyBorder="1"/>
    <xf numFmtId="182" fontId="1" fillId="28" borderId="2" xfId="14" applyNumberFormat="1" applyFill="1" applyBorder="1" applyAlignment="1">
      <alignment horizontal="right"/>
    </xf>
    <xf numFmtId="177" fontId="7" fillId="29" borderId="2" xfId="14" applyNumberFormat="1" applyFont="1" applyFill="1" applyBorder="1" applyAlignment="1">
      <alignment horizontal="right"/>
    </xf>
    <xf numFmtId="177" fontId="5" fillId="29" borderId="2" xfId="14" applyNumberFormat="1" applyFont="1" applyFill="1" applyBorder="1" applyAlignment="1">
      <alignment horizontal="right"/>
    </xf>
    <xf numFmtId="177" fontId="1" fillId="28" borderId="2" xfId="14" applyNumberFormat="1" applyFill="1" applyBorder="1"/>
    <xf numFmtId="0" fontId="1" fillId="30" borderId="2" xfId="14" applyFill="1" applyBorder="1"/>
    <xf numFmtId="182" fontId="1" fillId="30" borderId="2" xfId="14" applyNumberFormat="1" applyFill="1" applyBorder="1" applyAlignment="1">
      <alignment horizontal="right"/>
    </xf>
    <xf numFmtId="0" fontId="1" fillId="31" borderId="2" xfId="14" applyFill="1" applyBorder="1"/>
    <xf numFmtId="182" fontId="1" fillId="31" borderId="2" xfId="14" applyNumberFormat="1" applyFill="1" applyBorder="1" applyAlignment="1">
      <alignment horizontal="right"/>
    </xf>
    <xf numFmtId="177" fontId="5" fillId="31" borderId="2" xfId="14" applyNumberFormat="1" applyFont="1" applyFill="1" applyBorder="1" applyAlignment="1">
      <alignment horizontal="right"/>
    </xf>
    <xf numFmtId="177" fontId="1" fillId="31" borderId="2" xfId="14" applyNumberFormat="1" applyFill="1" applyBorder="1"/>
    <xf numFmtId="0" fontId="1" fillId="32" borderId="2" xfId="14" applyFill="1" applyBorder="1"/>
    <xf numFmtId="182" fontId="1" fillId="32" borderId="2" xfId="14" applyNumberFormat="1" applyFill="1" applyBorder="1" applyAlignment="1">
      <alignment horizontal="right"/>
    </xf>
    <xf numFmtId="177" fontId="5" fillId="32" borderId="2" xfId="14" applyNumberFormat="1" applyFont="1" applyFill="1" applyBorder="1" applyAlignment="1">
      <alignment horizontal="right"/>
    </xf>
    <xf numFmtId="177" fontId="1" fillId="32" borderId="2" xfId="14" applyNumberFormat="1" applyFill="1" applyBorder="1"/>
    <xf numFmtId="0" fontId="1" fillId="33" borderId="2" xfId="14" applyFill="1" applyBorder="1"/>
    <xf numFmtId="182" fontId="1" fillId="33" borderId="2" xfId="14" applyNumberFormat="1" applyFill="1" applyBorder="1" applyAlignment="1">
      <alignment horizontal="right"/>
    </xf>
    <xf numFmtId="177" fontId="5" fillId="33" borderId="2" xfId="14" applyNumberFormat="1" applyFont="1" applyFill="1" applyBorder="1" applyAlignment="1">
      <alignment horizontal="right"/>
    </xf>
    <xf numFmtId="177" fontId="1" fillId="33" borderId="2" xfId="14" applyNumberFormat="1" applyFill="1" applyBorder="1"/>
    <xf numFmtId="182" fontId="1" fillId="0" borderId="2" xfId="14" applyNumberFormat="1" applyBorder="1" applyAlignment="1">
      <alignment horizontal="right"/>
    </xf>
    <xf numFmtId="0" fontId="1" fillId="34" borderId="2" xfId="14" applyFill="1" applyBorder="1"/>
    <xf numFmtId="182" fontId="1" fillId="34" borderId="2" xfId="14" applyNumberFormat="1" applyFill="1" applyBorder="1" applyAlignment="1">
      <alignment horizontal="right"/>
    </xf>
    <xf numFmtId="182" fontId="5" fillId="10" borderId="2" xfId="14" applyNumberFormat="1" applyFont="1" applyFill="1" applyBorder="1" applyAlignment="1">
      <alignment horizontal="right"/>
    </xf>
    <xf numFmtId="0" fontId="5" fillId="4" borderId="2" xfId="14" applyFont="1" applyFill="1" applyBorder="1"/>
    <xf numFmtId="182" fontId="5" fillId="4" borderId="2" xfId="14" applyNumberFormat="1" applyFont="1" applyFill="1" applyBorder="1" applyAlignment="1">
      <alignment horizontal="right"/>
    </xf>
    <xf numFmtId="0" fontId="5" fillId="35" borderId="2" xfId="14" applyFont="1" applyFill="1" applyBorder="1"/>
    <xf numFmtId="182" fontId="5" fillId="35" borderId="2" xfId="14" applyNumberFormat="1" applyFont="1" applyFill="1" applyBorder="1" applyAlignment="1">
      <alignment horizontal="right"/>
    </xf>
    <xf numFmtId="0" fontId="1" fillId="36" borderId="2" xfId="14" applyFill="1" applyBorder="1"/>
    <xf numFmtId="182" fontId="5" fillId="36" borderId="2" xfId="14" applyNumberFormat="1" applyFont="1" applyFill="1" applyBorder="1" applyAlignment="1">
      <alignment horizontal="right"/>
    </xf>
    <xf numFmtId="177" fontId="1" fillId="36" borderId="2" xfId="14" applyNumberFormat="1" applyFill="1" applyBorder="1" applyAlignment="1">
      <alignment horizontal="right"/>
    </xf>
    <xf numFmtId="177" fontId="5" fillId="36" borderId="2" xfId="14" applyNumberFormat="1" applyFont="1" applyFill="1" applyBorder="1" applyAlignment="1">
      <alignment horizontal="right"/>
    </xf>
    <xf numFmtId="177" fontId="1" fillId="36" borderId="2" xfId="14" applyNumberFormat="1" applyFill="1" applyBorder="1"/>
    <xf numFmtId="182" fontId="1" fillId="36" borderId="2" xfId="14" applyNumberFormat="1" applyFill="1" applyBorder="1" applyAlignment="1">
      <alignment horizontal="right"/>
    </xf>
    <xf numFmtId="182" fontId="1" fillId="36" borderId="2" xfId="14" applyNumberFormat="1" applyFill="1" applyBorder="1"/>
    <xf numFmtId="182" fontId="1" fillId="0" borderId="2" xfId="14" applyNumberFormat="1" applyBorder="1"/>
    <xf numFmtId="0" fontId="1" fillId="37" borderId="0" xfId="14" applyFill="1"/>
    <xf numFmtId="182" fontId="1" fillId="37" borderId="2" xfId="14" applyNumberFormat="1" applyFill="1" applyBorder="1"/>
    <xf numFmtId="0" fontId="1" fillId="38" borderId="2" xfId="14" applyFill="1" applyBorder="1"/>
    <xf numFmtId="182" fontId="1" fillId="38" borderId="2" xfId="14" applyNumberFormat="1" applyFill="1" applyBorder="1"/>
    <xf numFmtId="182" fontId="1" fillId="33" borderId="2" xfId="14" applyNumberFormat="1" applyFill="1" applyBorder="1"/>
    <xf numFmtId="182" fontId="5" fillId="33" borderId="2" xfId="14" applyNumberFormat="1" applyFont="1" applyFill="1" applyBorder="1" applyAlignment="1">
      <alignment horizontal="right"/>
    </xf>
    <xf numFmtId="0" fontId="1" fillId="39" borderId="2" xfId="14" applyFill="1" applyBorder="1"/>
    <xf numFmtId="182" fontId="1" fillId="39" borderId="2" xfId="14" applyNumberFormat="1" applyFill="1" applyBorder="1"/>
    <xf numFmtId="0" fontId="1" fillId="40" borderId="2" xfId="14" applyFill="1" applyBorder="1"/>
    <xf numFmtId="182" fontId="7" fillId="40" borderId="2" xfId="14" applyNumberFormat="1" applyFont="1" applyFill="1" applyBorder="1"/>
    <xf numFmtId="182" fontId="5" fillId="40" borderId="2" xfId="14" applyNumberFormat="1" applyFont="1" applyFill="1" applyBorder="1" applyAlignment="1">
      <alignment horizontal="right"/>
    </xf>
    <xf numFmtId="177" fontId="1" fillId="40" borderId="2" xfId="14" applyNumberFormat="1" applyFill="1" applyBorder="1"/>
    <xf numFmtId="182" fontId="1" fillId="4" borderId="2" xfId="14" applyNumberFormat="1" applyFill="1" applyBorder="1"/>
    <xf numFmtId="182" fontId="8" fillId="40" borderId="2" xfId="14" applyNumberFormat="1" applyFont="1" applyFill="1" applyBorder="1"/>
    <xf numFmtId="182" fontId="1" fillId="4" borderId="0" xfId="14" applyNumberFormat="1" applyFill="1"/>
    <xf numFmtId="0" fontId="1" fillId="41" borderId="2" xfId="14" applyFill="1" applyBorder="1"/>
    <xf numFmtId="182" fontId="1" fillId="41" borderId="2" xfId="14" applyNumberFormat="1" applyFill="1" applyBorder="1"/>
    <xf numFmtId="177" fontId="1" fillId="41" borderId="2" xfId="14" applyNumberFormat="1" applyFill="1" applyBorder="1"/>
    <xf numFmtId="182" fontId="5" fillId="13" borderId="2" xfId="14" applyNumberFormat="1" applyFont="1" applyFill="1" applyBorder="1" applyAlignment="1">
      <alignment horizontal="right"/>
    </xf>
    <xf numFmtId="182" fontId="1" fillId="0" borderId="0" xfId="14" applyNumberFormat="1"/>
    <xf numFmtId="0" fontId="1" fillId="42" borderId="2" xfId="14" applyFill="1" applyBorder="1"/>
    <xf numFmtId="2" fontId="1" fillId="42" borderId="2" xfId="14" applyNumberFormat="1" applyFill="1" applyBorder="1"/>
    <xf numFmtId="182" fontId="1" fillId="42" borderId="2" xfId="14" applyNumberFormat="1" applyFill="1" applyBorder="1" applyAlignment="1">
      <alignment horizontal="right"/>
    </xf>
    <xf numFmtId="2" fontId="5" fillId="42" borderId="2" xfId="14" applyNumberFormat="1" applyFont="1" applyFill="1" applyBorder="1"/>
    <xf numFmtId="177" fontId="1" fillId="42" borderId="2" xfId="14" applyNumberFormat="1" applyFill="1" applyBorder="1"/>
    <xf numFmtId="182" fontId="5" fillId="10" borderId="2" xfId="14" applyNumberFormat="1" applyFont="1" applyFill="1" applyBorder="1"/>
    <xf numFmtId="177" fontId="5" fillId="10" borderId="2" xfId="14" applyNumberFormat="1" applyFont="1" applyFill="1" applyBorder="1"/>
    <xf numFmtId="177" fontId="5" fillId="13" borderId="2" xfId="14" applyNumberFormat="1" applyFont="1" applyFill="1" applyBorder="1"/>
    <xf numFmtId="177" fontId="5" fillId="4" borderId="0" xfId="14" applyNumberFormat="1" applyFont="1" applyFill="1"/>
    <xf numFmtId="182" fontId="5" fillId="4" borderId="2" xfId="14" applyNumberFormat="1" applyFont="1" applyFill="1" applyBorder="1"/>
    <xf numFmtId="182" fontId="5" fillId="4" borderId="0" xfId="14" applyNumberFormat="1" applyFont="1" applyFill="1"/>
    <xf numFmtId="182" fontId="5" fillId="0" borderId="2" xfId="14" applyNumberFormat="1" applyFont="1" applyFill="1" applyBorder="1"/>
    <xf numFmtId="182" fontId="1" fillId="0" borderId="2" xfId="14" applyNumberFormat="1" applyFont="1" applyBorder="1" applyAlignment="1">
      <alignment horizontal="right"/>
    </xf>
    <xf numFmtId="182" fontId="1" fillId="4" borderId="2" xfId="14" applyNumberFormat="1" applyFont="1" applyFill="1" applyBorder="1"/>
    <xf numFmtId="177" fontId="1" fillId="4" borderId="0" xfId="14" applyNumberFormat="1" applyFont="1" applyFill="1"/>
    <xf numFmtId="0" fontId="1" fillId="0" borderId="0" xfId="14" applyFont="1"/>
    <xf numFmtId="0" fontId="5" fillId="0" borderId="2" xfId="14" applyFont="1" applyBorder="1" applyAlignment="1">
      <alignment horizontal="center"/>
    </xf>
    <xf numFmtId="177" fontId="5" fillId="0" borderId="0" xfId="14" applyNumberFormat="1" applyFont="1"/>
  </cellXfs>
  <cellStyles count="51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Normal 2" xfId="14"/>
    <cellStyle name="40% - Ênfase 6" xfId="15" builtinId="51"/>
    <cellStyle name="Texto de Aviso" xfId="16" builtinId="11"/>
    <cellStyle name="Título" xfId="17" builtinId="15"/>
    <cellStyle name="Texto Explicativo" xfId="18" builtinId="53"/>
    <cellStyle name="Ênfase 3" xfId="19" builtinId="37"/>
    <cellStyle name="Título 1" xfId="20" builtinId="16"/>
    <cellStyle name="Ênfase 4" xfId="21" builtinId="41"/>
    <cellStyle name="Título 2" xfId="22" builtinId="17"/>
    <cellStyle name="Ênfase 5" xfId="23" builtinId="45"/>
    <cellStyle name="Título 3" xfId="24" builtinId="18"/>
    <cellStyle name="Ênfase 6" xfId="25" builtinId="49"/>
    <cellStyle name="Título 4" xfId="26" builtinId="19"/>
    <cellStyle name="Entrada" xfId="27" builtinId="20"/>
    <cellStyle name="Saída" xfId="28" builtinId="21"/>
    <cellStyle name="Cálculo" xfId="29" builtinId="22"/>
    <cellStyle name="Total" xfId="30" builtinId="25"/>
    <cellStyle name="40% - Ênfase 1" xfId="31" builtinId="31"/>
    <cellStyle name="Bom" xfId="32" builtinId="26"/>
    <cellStyle name="Ruim" xfId="33" builtinId="27"/>
    <cellStyle name="Neutro" xfId="34" builtinId="28"/>
    <cellStyle name="20% - Ênfase 5" xfId="35" builtinId="46"/>
    <cellStyle name="Ênfase 1" xfId="36" builtinId="29"/>
    <cellStyle name="20% - Ênfase 1" xfId="37" builtinId="30"/>
    <cellStyle name="60% - Ênfase 1" xfId="38" builtinId="32"/>
    <cellStyle name="20% - Ênfase 6" xfId="39" builtinId="50"/>
    <cellStyle name="Ênfase 2" xfId="40" builtinId="33"/>
    <cellStyle name="20% - Ênfase 2" xfId="41" builtinId="34"/>
    <cellStyle name="60% - Ênfase 2" xfId="42" builtinId="36"/>
    <cellStyle name="40% - Ênfase 3" xfId="43" builtinId="39"/>
    <cellStyle name="60% - Ênfase 3" xfId="44" builtinId="40"/>
    <cellStyle name="20% - Ênfase 4" xfId="45" builtinId="42"/>
    <cellStyle name="60% - Ênfase 4" xfId="46" builtinId="44"/>
    <cellStyle name="40% - Ênfase 5" xfId="47" builtinId="47"/>
    <cellStyle name="60% - Ênfase 5" xfId="48" builtinId="48"/>
    <cellStyle name="60% - Ênfase 6" xfId="49" builtinId="52"/>
    <cellStyle name="Normal 3" xfId="50"/>
  </cellStyles>
  <tableStyles count="0" defaultTableStyle="TableStyleMedium9"/>
  <colors>
    <mruColors>
      <color rgb="00E6FB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8"/>
  <sheetViews>
    <sheetView showGridLines="0" zoomScale="80" zoomScaleNormal="80" topLeftCell="A226" workbookViewId="0">
      <selection activeCell="C248" sqref="C248"/>
    </sheetView>
  </sheetViews>
  <sheetFormatPr defaultColWidth="9" defaultRowHeight="12.75"/>
  <cols>
    <col min="1" max="1" width="64.2857142857143" style="29" customWidth="1"/>
    <col min="2" max="2" width="15.2857142857143" style="29" customWidth="1"/>
    <col min="3" max="3" width="15" style="29" customWidth="1"/>
    <col min="4" max="4" width="13.7142857142857" style="29" customWidth="1"/>
    <col min="5" max="7" width="15.5714285714286" style="29" customWidth="1"/>
    <col min="8" max="8" width="9.14285714285714" style="29"/>
    <col min="9" max="9" width="15.2857142857143" style="29" customWidth="1"/>
    <col min="10" max="16384" width="9.14285714285714" style="29"/>
  </cols>
  <sheetData>
    <row r="1" ht="18" spans="1:7">
      <c r="A1" s="76" t="s">
        <v>0</v>
      </c>
      <c r="B1" s="77"/>
      <c r="C1" s="77"/>
      <c r="D1" s="77"/>
      <c r="E1" s="77"/>
      <c r="F1" s="78"/>
      <c r="G1" s="30"/>
    </row>
    <row r="2" ht="66.75" customHeight="1" spans="1:8">
      <c r="A2" s="79" t="s">
        <v>1</v>
      </c>
      <c r="B2" s="80" t="s">
        <v>2</v>
      </c>
      <c r="C2" s="80" t="s">
        <v>3</v>
      </c>
      <c r="D2" s="80" t="s">
        <v>4</v>
      </c>
      <c r="E2" s="81" t="s">
        <v>5</v>
      </c>
      <c r="F2" s="80" t="s">
        <v>6</v>
      </c>
      <c r="G2" s="82"/>
      <c r="H2" s="74"/>
    </row>
    <row r="3" spans="1:9">
      <c r="A3" s="83" t="s">
        <v>7</v>
      </c>
      <c r="B3" s="84">
        <f>B4+B24+B45</f>
        <v>14832000</v>
      </c>
      <c r="C3" s="84">
        <f>C4+C24+C45</f>
        <v>8194609.69</v>
      </c>
      <c r="D3" s="84">
        <f>D4+D24+D45</f>
        <v>5704066.77142857</v>
      </c>
      <c r="E3" s="84">
        <f>E4+E24+E45</f>
        <v>13898676.4614286</v>
      </c>
      <c r="F3" s="84">
        <f>F4+F24+F45</f>
        <v>-933323.538571428</v>
      </c>
      <c r="G3" s="85"/>
      <c r="H3" s="74"/>
      <c r="I3" s="68"/>
    </row>
    <row r="4" spans="1:9">
      <c r="A4" s="83" t="s">
        <v>8</v>
      </c>
      <c r="B4" s="84">
        <f>SUM(B5:B23)</f>
        <v>11808000</v>
      </c>
      <c r="C4" s="84">
        <f>SUM(C5:C23)</f>
        <v>6804197.97</v>
      </c>
      <c r="D4" s="84">
        <f>SUM(D5:D23)</f>
        <v>4841781.24142857</v>
      </c>
      <c r="E4" s="84">
        <f>SUM(E5:E23)</f>
        <v>11645979.2114286</v>
      </c>
      <c r="F4" s="84">
        <f>SUM(F5:F23)</f>
        <v>-162020.788571428</v>
      </c>
      <c r="G4" s="85"/>
      <c r="H4" s="74"/>
      <c r="I4" s="68"/>
    </row>
    <row r="5" spans="1:8">
      <c r="A5" s="86" t="s">
        <v>9</v>
      </c>
      <c r="B5" s="87">
        <v>2000000</v>
      </c>
      <c r="C5" s="87">
        <v>1159718.28</v>
      </c>
      <c r="D5" s="88">
        <f>(C5/7)*6</f>
        <v>994044.24</v>
      </c>
      <c r="E5" s="89">
        <f t="shared" ref="E5:E23" si="0">C5+D5</f>
        <v>2153762.52</v>
      </c>
      <c r="F5" s="44">
        <f t="shared" ref="F5:F23" si="1">E5-B5</f>
        <v>153762.52</v>
      </c>
      <c r="G5" s="90"/>
      <c r="H5" s="74"/>
    </row>
    <row r="6" spans="1:8">
      <c r="A6" s="86" t="s">
        <v>10</v>
      </c>
      <c r="B6" s="87">
        <v>20000</v>
      </c>
      <c r="C6" s="87">
        <v>13650.64</v>
      </c>
      <c r="D6" s="88">
        <f>(C6/7)*6</f>
        <v>11700.5485714286</v>
      </c>
      <c r="E6" s="89">
        <f t="shared" si="0"/>
        <v>25351.1885714286</v>
      </c>
      <c r="F6" s="44">
        <f t="shared" si="1"/>
        <v>5351.1885714286</v>
      </c>
      <c r="G6" s="90"/>
      <c r="H6" s="74"/>
    </row>
    <row r="7" spans="1:8">
      <c r="A7" s="86" t="s">
        <v>11</v>
      </c>
      <c r="B7" s="87">
        <v>600000</v>
      </c>
      <c r="C7" s="87">
        <v>372585.05</v>
      </c>
      <c r="D7" s="88">
        <f>(C7/7)*6</f>
        <v>319358.614285714</v>
      </c>
      <c r="E7" s="89">
        <f t="shared" si="0"/>
        <v>691943.664285714</v>
      </c>
      <c r="F7" s="44">
        <f t="shared" si="1"/>
        <v>91943.664285714</v>
      </c>
      <c r="G7" s="90"/>
      <c r="H7" s="74"/>
    </row>
    <row r="8" spans="1:8">
      <c r="A8" s="86" t="s">
        <v>12</v>
      </c>
      <c r="B8" s="87">
        <v>55000</v>
      </c>
      <c r="C8" s="87">
        <v>27084.01</v>
      </c>
      <c r="D8" s="88">
        <f>(C8/7)*6</f>
        <v>23214.8657142857</v>
      </c>
      <c r="E8" s="89">
        <f t="shared" si="0"/>
        <v>50298.8757142857</v>
      </c>
      <c r="F8" s="44">
        <f t="shared" si="1"/>
        <v>-4701.1242857143</v>
      </c>
      <c r="G8" s="90"/>
      <c r="H8" s="74"/>
    </row>
    <row r="9" spans="1:8">
      <c r="A9" s="86" t="s">
        <v>13</v>
      </c>
      <c r="B9" s="87">
        <v>33000</v>
      </c>
      <c r="C9" s="87">
        <v>22216.07</v>
      </c>
      <c r="D9" s="88">
        <f>(C9/7)*6</f>
        <v>19042.3457142857</v>
      </c>
      <c r="E9" s="89">
        <f t="shared" si="0"/>
        <v>41258.4157142857</v>
      </c>
      <c r="F9" s="44">
        <f t="shared" si="1"/>
        <v>8258.41571428571</v>
      </c>
      <c r="G9" s="90"/>
      <c r="H9" s="74"/>
    </row>
    <row r="10" spans="1:8">
      <c r="A10" s="86" t="s">
        <v>14</v>
      </c>
      <c r="B10" s="87">
        <v>548000</v>
      </c>
      <c r="C10" s="87">
        <v>124604.03</v>
      </c>
      <c r="D10" s="88">
        <f>(C10/7)*5</f>
        <v>89002.8785714286</v>
      </c>
      <c r="E10" s="89">
        <f t="shared" si="0"/>
        <v>213606.908571429</v>
      </c>
      <c r="F10" s="44">
        <f t="shared" si="1"/>
        <v>-334393.091428571</v>
      </c>
      <c r="G10" s="90"/>
      <c r="H10" s="74"/>
    </row>
    <row r="11" spans="1:8">
      <c r="A11" s="86" t="s">
        <v>15</v>
      </c>
      <c r="B11" s="87">
        <v>2000</v>
      </c>
      <c r="C11" s="87">
        <v>1029.98</v>
      </c>
      <c r="D11" s="88">
        <f>(C11/7)*5</f>
        <v>735.7</v>
      </c>
      <c r="E11" s="89">
        <f t="shared" si="0"/>
        <v>1765.68</v>
      </c>
      <c r="F11" s="44">
        <f t="shared" si="1"/>
        <v>-234.32</v>
      </c>
      <c r="G11" s="90"/>
      <c r="H11" s="74"/>
    </row>
    <row r="12" spans="1:8">
      <c r="A12" s="86" t="s">
        <v>16</v>
      </c>
      <c r="B12" s="87">
        <v>2447000</v>
      </c>
      <c r="C12" s="87">
        <v>1571590.33</v>
      </c>
      <c r="D12" s="91">
        <f>B12-C12</f>
        <v>875409.67</v>
      </c>
      <c r="E12" s="89">
        <f t="shared" si="0"/>
        <v>2447000</v>
      </c>
      <c r="F12" s="44">
        <f t="shared" si="1"/>
        <v>0</v>
      </c>
      <c r="G12" s="90"/>
      <c r="H12" s="74"/>
    </row>
    <row r="13" spans="1:8">
      <c r="A13" s="86" t="s">
        <v>17</v>
      </c>
      <c r="B13" s="87">
        <v>3000</v>
      </c>
      <c r="C13" s="87">
        <v>2378.25</v>
      </c>
      <c r="D13" s="88">
        <v>2000</v>
      </c>
      <c r="E13" s="89">
        <f t="shared" si="0"/>
        <v>4378.25</v>
      </c>
      <c r="F13" s="44">
        <f t="shared" si="1"/>
        <v>1378.25</v>
      </c>
      <c r="G13" s="90"/>
      <c r="H13" s="74"/>
    </row>
    <row r="14" spans="1:8">
      <c r="A14" s="86" t="s">
        <v>18</v>
      </c>
      <c r="B14" s="87">
        <v>300000</v>
      </c>
      <c r="C14" s="87">
        <v>221279.76</v>
      </c>
      <c r="D14" s="91">
        <f>C14/7*5</f>
        <v>158056.971428571</v>
      </c>
      <c r="E14" s="89">
        <f t="shared" si="0"/>
        <v>379336.731428571</v>
      </c>
      <c r="F14" s="44">
        <f t="shared" si="1"/>
        <v>79336.731428571</v>
      </c>
      <c r="G14" s="90"/>
      <c r="H14" s="74"/>
    </row>
    <row r="15" spans="1:8">
      <c r="A15" s="86" t="s">
        <v>19</v>
      </c>
      <c r="B15" s="87">
        <v>50000</v>
      </c>
      <c r="C15" s="87">
        <v>47445.67</v>
      </c>
      <c r="D15" s="91">
        <f>C15/7*5</f>
        <v>33889.7642857143</v>
      </c>
      <c r="E15" s="89">
        <f t="shared" si="0"/>
        <v>81335.4342857143</v>
      </c>
      <c r="F15" s="44">
        <f t="shared" si="1"/>
        <v>31335.4342857143</v>
      </c>
      <c r="G15" s="90"/>
      <c r="H15" s="74"/>
    </row>
    <row r="16" spans="1:8">
      <c r="A16" s="86" t="s">
        <v>20</v>
      </c>
      <c r="B16" s="87">
        <v>1249700</v>
      </c>
      <c r="C16" s="87">
        <v>603102.08</v>
      </c>
      <c r="D16" s="88">
        <f>(C16/7)*5</f>
        <v>430787.2</v>
      </c>
      <c r="E16" s="89">
        <f t="shared" si="0"/>
        <v>1033889.28</v>
      </c>
      <c r="F16" s="44">
        <f t="shared" si="1"/>
        <v>-215810.72</v>
      </c>
      <c r="G16" s="90"/>
      <c r="H16" s="74"/>
    </row>
    <row r="17" spans="1:8">
      <c r="A17" s="86" t="s">
        <v>21</v>
      </c>
      <c r="B17" s="87">
        <v>100</v>
      </c>
      <c r="C17" s="87">
        <v>0</v>
      </c>
      <c r="D17" s="88">
        <v>50</v>
      </c>
      <c r="E17" s="89">
        <f t="shared" si="0"/>
        <v>50</v>
      </c>
      <c r="F17" s="44">
        <f t="shared" si="1"/>
        <v>-50</v>
      </c>
      <c r="G17" s="90"/>
      <c r="H17" s="74"/>
    </row>
    <row r="18" spans="1:8">
      <c r="A18" s="86" t="s">
        <v>22</v>
      </c>
      <c r="B18" s="87">
        <v>100</v>
      </c>
      <c r="C18" s="87">
        <v>0</v>
      </c>
      <c r="D18" s="88">
        <v>500</v>
      </c>
      <c r="E18" s="89">
        <f t="shared" si="0"/>
        <v>500</v>
      </c>
      <c r="F18" s="44">
        <f t="shared" si="1"/>
        <v>400</v>
      </c>
      <c r="G18" s="90"/>
      <c r="H18" s="74"/>
    </row>
    <row r="19" spans="1:8">
      <c r="A19" s="86" t="s">
        <v>23</v>
      </c>
      <c r="B19" s="87">
        <v>100</v>
      </c>
      <c r="C19" s="87">
        <v>0</v>
      </c>
      <c r="D19" s="88">
        <v>50</v>
      </c>
      <c r="E19" s="89">
        <f t="shared" si="0"/>
        <v>50</v>
      </c>
      <c r="F19" s="44">
        <f t="shared" si="1"/>
        <v>-50</v>
      </c>
      <c r="G19" s="90"/>
      <c r="H19" s="74"/>
    </row>
    <row r="20" spans="1:8">
      <c r="A20" s="86" t="s">
        <v>24</v>
      </c>
      <c r="B20" s="87">
        <v>4355000</v>
      </c>
      <c r="C20" s="87">
        <v>2568549.72</v>
      </c>
      <c r="D20" s="88">
        <f>(C20/7)*5</f>
        <v>1834678.37142857</v>
      </c>
      <c r="E20" s="89">
        <f t="shared" si="0"/>
        <v>4403228.09142857</v>
      </c>
      <c r="F20" s="44">
        <f t="shared" si="1"/>
        <v>48228.0914285723</v>
      </c>
      <c r="G20" s="90"/>
      <c r="H20" s="74"/>
    </row>
    <row r="21" spans="1:8">
      <c r="A21" s="86" t="s">
        <v>25</v>
      </c>
      <c r="B21" s="87">
        <v>15000</v>
      </c>
      <c r="C21" s="87">
        <v>10822.52</v>
      </c>
      <c r="D21" s="88">
        <f>(C21/7)*5</f>
        <v>7730.37142857143</v>
      </c>
      <c r="E21" s="89">
        <f t="shared" si="0"/>
        <v>18552.8914285714</v>
      </c>
      <c r="F21" s="44">
        <f t="shared" si="1"/>
        <v>3552.89142857143</v>
      </c>
      <c r="G21" s="90"/>
      <c r="H21" s="74"/>
    </row>
    <row r="22" spans="1:8">
      <c r="A22" s="86" t="s">
        <v>26</v>
      </c>
      <c r="B22" s="87">
        <v>100000</v>
      </c>
      <c r="C22" s="87">
        <v>53371.28</v>
      </c>
      <c r="D22" s="88">
        <f>(C22/7)*5</f>
        <v>38122.3428571429</v>
      </c>
      <c r="E22" s="89">
        <f t="shared" si="0"/>
        <v>91493.6228571429</v>
      </c>
      <c r="F22" s="44">
        <f t="shared" si="1"/>
        <v>-8506.37714285715</v>
      </c>
      <c r="G22" s="90"/>
      <c r="H22" s="74"/>
    </row>
    <row r="23" spans="1:8">
      <c r="A23" s="86" t="s">
        <v>27</v>
      </c>
      <c r="B23" s="87">
        <v>30000</v>
      </c>
      <c r="C23" s="87">
        <v>4770.3</v>
      </c>
      <c r="D23" s="88">
        <f>(C23/7)*5</f>
        <v>3407.35714285714</v>
      </c>
      <c r="E23" s="89">
        <f t="shared" si="0"/>
        <v>8177.65714285714</v>
      </c>
      <c r="F23" s="44">
        <f t="shared" si="1"/>
        <v>-21822.3428571429</v>
      </c>
      <c r="G23" s="90"/>
      <c r="H23" s="74"/>
    </row>
    <row r="24" s="73" customFormat="1" spans="1:20">
      <c r="A24" s="92" t="s">
        <v>28</v>
      </c>
      <c r="B24" s="93">
        <f>SUM(B25:B44)</f>
        <v>1424000</v>
      </c>
      <c r="C24" s="93">
        <f>SUM(C25:C44)</f>
        <v>1002676.04</v>
      </c>
      <c r="D24" s="93">
        <f>SUM(D25:D44)</f>
        <v>585331.472857143</v>
      </c>
      <c r="E24" s="93">
        <f>SUM(E25:E44)</f>
        <v>1588007.51285714</v>
      </c>
      <c r="F24" s="93">
        <f>SUM(F25:F44)</f>
        <v>164007.512857143</v>
      </c>
      <c r="G24" s="9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</row>
    <row r="25" spans="1:8">
      <c r="A25" s="86" t="s">
        <v>29</v>
      </c>
      <c r="B25" s="87">
        <v>59700</v>
      </c>
      <c r="C25" s="87">
        <v>43166.19</v>
      </c>
      <c r="D25" s="88">
        <f t="shared" ref="D25:D30" si="2">(C25/7)*5</f>
        <v>30832.9928571429</v>
      </c>
      <c r="E25" s="89">
        <f t="shared" ref="E25:E44" si="3">C25+D25</f>
        <v>73999.1828571429</v>
      </c>
      <c r="F25" s="44">
        <f t="shared" ref="F25:F44" si="4">E25-B25</f>
        <v>14299.1828571429</v>
      </c>
      <c r="G25" s="90"/>
      <c r="H25" s="74"/>
    </row>
    <row r="26" spans="1:8">
      <c r="A26" s="86" t="s">
        <v>30</v>
      </c>
      <c r="B26" s="87">
        <v>100</v>
      </c>
      <c r="C26" s="87">
        <v>4.98</v>
      </c>
      <c r="D26" s="88">
        <f t="shared" si="2"/>
        <v>3.55714285714286</v>
      </c>
      <c r="E26" s="89">
        <f t="shared" si="3"/>
        <v>8.53714285714286</v>
      </c>
      <c r="F26" s="44">
        <f t="shared" si="4"/>
        <v>-91.4628571428571</v>
      </c>
      <c r="G26" s="90"/>
      <c r="H26" s="74"/>
    </row>
    <row r="27" spans="1:8">
      <c r="A27" s="86" t="s">
        <v>30</v>
      </c>
      <c r="B27" s="87">
        <v>100</v>
      </c>
      <c r="C27" s="87">
        <v>0</v>
      </c>
      <c r="D27" s="88">
        <f t="shared" si="2"/>
        <v>0</v>
      </c>
      <c r="E27" s="89">
        <f t="shared" si="3"/>
        <v>0</v>
      </c>
      <c r="F27" s="44">
        <f t="shared" si="4"/>
        <v>-100</v>
      </c>
      <c r="G27" s="90"/>
      <c r="H27" s="74"/>
    </row>
    <row r="28" spans="1:8">
      <c r="A28" s="86" t="s">
        <v>30</v>
      </c>
      <c r="B28" s="87">
        <v>100</v>
      </c>
      <c r="C28" s="87">
        <v>0</v>
      </c>
      <c r="D28" s="88">
        <f t="shared" si="2"/>
        <v>0</v>
      </c>
      <c r="E28" s="89">
        <f t="shared" si="3"/>
        <v>0</v>
      </c>
      <c r="F28" s="44">
        <f t="shared" si="4"/>
        <v>-100</v>
      </c>
      <c r="G28" s="90"/>
      <c r="H28" s="74"/>
    </row>
    <row r="29" spans="1:8">
      <c r="A29" s="86" t="s">
        <v>31</v>
      </c>
      <c r="B29" s="87">
        <v>38500</v>
      </c>
      <c r="C29" s="87">
        <v>29061.08</v>
      </c>
      <c r="D29" s="88">
        <f t="shared" si="2"/>
        <v>20757.9142857143</v>
      </c>
      <c r="E29" s="89">
        <f t="shared" si="3"/>
        <v>49818.9942857143</v>
      </c>
      <c r="F29" s="44">
        <f t="shared" si="4"/>
        <v>11318.9942857143</v>
      </c>
      <c r="G29" s="90"/>
      <c r="H29" s="74"/>
    </row>
    <row r="30" spans="1:8">
      <c r="A30" s="86" t="s">
        <v>32</v>
      </c>
      <c r="B30" s="87">
        <v>1000</v>
      </c>
      <c r="C30" s="87">
        <v>313.87</v>
      </c>
      <c r="D30" s="88">
        <f t="shared" si="2"/>
        <v>224.192857142857</v>
      </c>
      <c r="E30" s="89">
        <f t="shared" si="3"/>
        <v>538.062857142857</v>
      </c>
      <c r="F30" s="44">
        <f t="shared" si="4"/>
        <v>-461.937142857143</v>
      </c>
      <c r="G30" s="90"/>
      <c r="H30" s="74"/>
    </row>
    <row r="31" spans="1:7">
      <c r="A31" s="86" t="s">
        <v>33</v>
      </c>
      <c r="B31" s="87">
        <v>5000</v>
      </c>
      <c r="C31" s="87">
        <v>3512.82</v>
      </c>
      <c r="D31" s="88">
        <f>(C31/7)*8</f>
        <v>4014.65142857143</v>
      </c>
      <c r="E31" s="89">
        <f t="shared" si="3"/>
        <v>7527.47142857143</v>
      </c>
      <c r="F31" s="44">
        <f t="shared" si="4"/>
        <v>2527.47142857143</v>
      </c>
      <c r="G31" s="68"/>
    </row>
    <row r="32" spans="1:7">
      <c r="A32" s="86" t="s">
        <v>34</v>
      </c>
      <c r="B32" s="87">
        <v>500</v>
      </c>
      <c r="C32" s="87">
        <v>945.32</v>
      </c>
      <c r="D32" s="88">
        <f>(C32/7)*5</f>
        <v>675.228571428572</v>
      </c>
      <c r="E32" s="89">
        <f t="shared" si="3"/>
        <v>1620.54857142857</v>
      </c>
      <c r="F32" s="44">
        <f t="shared" si="4"/>
        <v>1120.54857142857</v>
      </c>
      <c r="G32" s="68"/>
    </row>
    <row r="33" spans="1:7">
      <c r="A33" s="86" t="s">
        <v>35</v>
      </c>
      <c r="B33" s="87">
        <v>328000</v>
      </c>
      <c r="C33" s="87">
        <v>270111.24</v>
      </c>
      <c r="D33" s="88">
        <f>(C33/7)*5</f>
        <v>192936.6</v>
      </c>
      <c r="E33" s="89">
        <f t="shared" si="3"/>
        <v>463047.84</v>
      </c>
      <c r="F33" s="44">
        <f t="shared" si="4"/>
        <v>135047.84</v>
      </c>
      <c r="G33" s="68"/>
    </row>
    <row r="34" spans="1:7">
      <c r="A34" s="86" t="s">
        <v>36</v>
      </c>
      <c r="B34" s="87">
        <v>2000</v>
      </c>
      <c r="C34" s="87">
        <v>1728.46</v>
      </c>
      <c r="D34" s="88">
        <f>(C34/7)*5</f>
        <v>1234.61428571429</v>
      </c>
      <c r="E34" s="89">
        <f t="shared" si="3"/>
        <v>2963.07428571429</v>
      </c>
      <c r="F34" s="44">
        <f t="shared" si="4"/>
        <v>963.074285714286</v>
      </c>
      <c r="G34" s="68"/>
    </row>
    <row r="35" spans="1:7">
      <c r="A35" s="86" t="s">
        <v>37</v>
      </c>
      <c r="B35" s="87">
        <v>90000</v>
      </c>
      <c r="C35" s="87">
        <v>64894.51</v>
      </c>
      <c r="D35" s="88">
        <f>(C35/7)*5</f>
        <v>46353.2214285714</v>
      </c>
      <c r="E35" s="89">
        <f t="shared" si="3"/>
        <v>111247.731428571</v>
      </c>
      <c r="F35" s="44">
        <f t="shared" si="4"/>
        <v>21247.7314285714</v>
      </c>
      <c r="G35" s="68"/>
    </row>
    <row r="36" spans="1:7">
      <c r="A36" s="86" t="s">
        <v>38</v>
      </c>
      <c r="B36" s="87">
        <v>20000</v>
      </c>
      <c r="C36" s="87">
        <v>15775.86</v>
      </c>
      <c r="D36" s="88">
        <f>(C36/7)*5</f>
        <v>11268.4714285714</v>
      </c>
      <c r="E36" s="89">
        <f t="shared" si="3"/>
        <v>27044.3314285714</v>
      </c>
      <c r="F36" s="44">
        <f t="shared" si="4"/>
        <v>7044.33142857143</v>
      </c>
      <c r="G36" s="68"/>
    </row>
    <row r="37" spans="1:7">
      <c r="A37" s="86" t="s">
        <v>39</v>
      </c>
      <c r="B37" s="87">
        <v>698000</v>
      </c>
      <c r="C37" s="87">
        <v>484199.75</v>
      </c>
      <c r="D37" s="91">
        <f>B37-C37</f>
        <v>213800.25</v>
      </c>
      <c r="E37" s="89">
        <f t="shared" si="3"/>
        <v>698000</v>
      </c>
      <c r="F37" s="44">
        <f t="shared" si="4"/>
        <v>0</v>
      </c>
      <c r="G37" s="68"/>
    </row>
    <row r="38" spans="1:7">
      <c r="A38" s="86" t="s">
        <v>40</v>
      </c>
      <c r="B38" s="87">
        <v>1000</v>
      </c>
      <c r="C38" s="87">
        <v>580.27</v>
      </c>
      <c r="D38" s="88">
        <v>100</v>
      </c>
      <c r="E38" s="89">
        <f t="shared" si="3"/>
        <v>680.27</v>
      </c>
      <c r="F38" s="44">
        <f t="shared" si="4"/>
        <v>-319.73</v>
      </c>
      <c r="G38" s="68"/>
    </row>
    <row r="39" spans="1:7">
      <c r="A39" s="86" t="s">
        <v>41</v>
      </c>
      <c r="B39" s="87">
        <v>500</v>
      </c>
      <c r="C39" s="87">
        <v>0</v>
      </c>
      <c r="D39" s="88">
        <f>(C39/4)*8</f>
        <v>0</v>
      </c>
      <c r="E39" s="89">
        <f t="shared" si="3"/>
        <v>0</v>
      </c>
      <c r="F39" s="44">
        <f t="shared" si="4"/>
        <v>-500</v>
      </c>
      <c r="G39" s="68"/>
    </row>
    <row r="40" spans="1:7">
      <c r="A40" s="86" t="s">
        <v>42</v>
      </c>
      <c r="B40" s="87">
        <v>500</v>
      </c>
      <c r="C40" s="87">
        <v>0</v>
      </c>
      <c r="D40" s="88">
        <f>(C40/4)*8</f>
        <v>0</v>
      </c>
      <c r="E40" s="89">
        <f t="shared" si="3"/>
        <v>0</v>
      </c>
      <c r="F40" s="44">
        <f t="shared" si="4"/>
        <v>-500</v>
      </c>
      <c r="G40" s="68"/>
    </row>
    <row r="41" spans="1:7">
      <c r="A41" s="86" t="s">
        <v>43</v>
      </c>
      <c r="B41" s="87">
        <v>171500</v>
      </c>
      <c r="C41" s="87">
        <v>87738.42</v>
      </c>
      <c r="D41" s="88">
        <f>(C41/7)*5</f>
        <v>62670.3</v>
      </c>
      <c r="E41" s="89">
        <f t="shared" si="3"/>
        <v>150408.72</v>
      </c>
      <c r="F41" s="44">
        <f t="shared" si="4"/>
        <v>-21091.28</v>
      </c>
      <c r="G41" s="68"/>
    </row>
    <row r="42" spans="1:7">
      <c r="A42" s="86" t="s">
        <v>44</v>
      </c>
      <c r="B42" s="87">
        <v>500</v>
      </c>
      <c r="C42" s="87">
        <v>186.74</v>
      </c>
      <c r="D42" s="88">
        <f>(C42/7)*5</f>
        <v>133.385714285714</v>
      </c>
      <c r="E42" s="89">
        <f t="shared" si="3"/>
        <v>320.125714285714</v>
      </c>
      <c r="F42" s="44">
        <f t="shared" si="4"/>
        <v>-179.874285714286</v>
      </c>
      <c r="G42" s="90"/>
    </row>
    <row r="43" spans="1:7">
      <c r="A43" s="86" t="s">
        <v>45</v>
      </c>
      <c r="B43" s="87">
        <v>5000</v>
      </c>
      <c r="C43" s="87">
        <v>368.11</v>
      </c>
      <c r="D43" s="88">
        <f>(C43/7)*5</f>
        <v>262.935714285714</v>
      </c>
      <c r="E43" s="89">
        <f t="shared" si="3"/>
        <v>631.045714285714</v>
      </c>
      <c r="F43" s="44">
        <f t="shared" si="4"/>
        <v>-4368.95428571429</v>
      </c>
      <c r="G43" s="90"/>
    </row>
    <row r="44" spans="1:7">
      <c r="A44" s="86" t="s">
        <v>46</v>
      </c>
      <c r="B44" s="87">
        <v>2000</v>
      </c>
      <c r="C44" s="87">
        <v>88.42</v>
      </c>
      <c r="D44" s="88">
        <f>(C44/7)*5</f>
        <v>63.1571428571429</v>
      </c>
      <c r="E44" s="89">
        <f t="shared" si="3"/>
        <v>151.577142857143</v>
      </c>
      <c r="F44" s="44">
        <f t="shared" si="4"/>
        <v>-1848.42285714286</v>
      </c>
      <c r="G44" s="90"/>
    </row>
    <row r="45" spans="1:7">
      <c r="A45" s="92" t="s">
        <v>47</v>
      </c>
      <c r="B45" s="93">
        <f>SUM(B46:B49)</f>
        <v>1600000</v>
      </c>
      <c r="C45" s="93">
        <f>SUM(C46:C49)</f>
        <v>387735.68</v>
      </c>
      <c r="D45" s="93">
        <f>SUM(D46:D49)</f>
        <v>276954.057142857</v>
      </c>
      <c r="E45" s="93">
        <f>SUM(E46:E49)</f>
        <v>664689.737142857</v>
      </c>
      <c r="F45" s="93">
        <f>SUM(F46:F49)</f>
        <v>-935310.262857143</v>
      </c>
      <c r="G45" s="94"/>
    </row>
    <row r="46" spans="1:7">
      <c r="A46" s="86" t="s">
        <v>48</v>
      </c>
      <c r="B46" s="87">
        <v>1537000</v>
      </c>
      <c r="C46" s="87">
        <v>308199.25</v>
      </c>
      <c r="D46" s="88">
        <f>(C46/7)*5</f>
        <v>220142.321428571</v>
      </c>
      <c r="E46" s="89">
        <f>C46+D46</f>
        <v>528341.571428571</v>
      </c>
      <c r="F46" s="44">
        <f>E46-B46</f>
        <v>-1008658.42857143</v>
      </c>
      <c r="G46" s="90"/>
    </row>
    <row r="47" spans="1:7">
      <c r="A47" s="86" t="s">
        <v>49</v>
      </c>
      <c r="B47" s="87">
        <v>1000</v>
      </c>
      <c r="C47" s="87">
        <v>360.98</v>
      </c>
      <c r="D47" s="88">
        <f>(C47/7)*5</f>
        <v>257.842857142857</v>
      </c>
      <c r="E47" s="89">
        <f>C47+D47</f>
        <v>618.822857142857</v>
      </c>
      <c r="F47" s="44">
        <f>E47-B47</f>
        <v>-381.177142857143</v>
      </c>
      <c r="G47" s="90"/>
    </row>
    <row r="48" spans="1:7">
      <c r="A48" s="86" t="s">
        <v>50</v>
      </c>
      <c r="B48" s="87">
        <v>60000</v>
      </c>
      <c r="C48" s="87">
        <v>63437.99</v>
      </c>
      <c r="D48" s="88">
        <f>(C48/7)*5</f>
        <v>45312.85</v>
      </c>
      <c r="E48" s="89">
        <f>C48+D48</f>
        <v>108750.84</v>
      </c>
      <c r="F48" s="44">
        <f>E48-B48</f>
        <v>48750.84</v>
      </c>
      <c r="G48" s="90"/>
    </row>
    <row r="49" spans="1:7">
      <c r="A49" s="86" t="s">
        <v>51</v>
      </c>
      <c r="B49" s="87">
        <v>2000</v>
      </c>
      <c r="C49" s="87">
        <v>15737.46</v>
      </c>
      <c r="D49" s="88">
        <f>(C49/7)*5</f>
        <v>11241.0428571429</v>
      </c>
      <c r="E49" s="89">
        <f>C49+D49</f>
        <v>26978.5028571429</v>
      </c>
      <c r="F49" s="44">
        <f>E49-B49</f>
        <v>24978.5028571429</v>
      </c>
      <c r="G49" s="90"/>
    </row>
    <row r="50" spans="1:7">
      <c r="A50" s="86"/>
      <c r="B50" s="87"/>
      <c r="C50" s="87"/>
      <c r="D50" s="88"/>
      <c r="E50" s="89"/>
      <c r="F50" s="44"/>
      <c r="G50" s="90"/>
    </row>
    <row r="51" spans="1:9">
      <c r="A51" s="83" t="s">
        <v>52</v>
      </c>
      <c r="B51" s="95">
        <f>B52+B53</f>
        <v>3350000</v>
      </c>
      <c r="C51" s="95">
        <f>C52+C53</f>
        <v>1765176.37</v>
      </c>
      <c r="D51" s="95">
        <f>D52+D53</f>
        <v>1463356.69571429</v>
      </c>
      <c r="E51" s="95">
        <f>E52+E53</f>
        <v>3228533.06571429</v>
      </c>
      <c r="F51" s="95">
        <f>F52+F53</f>
        <v>-121466.934285715</v>
      </c>
      <c r="G51" s="96"/>
      <c r="I51" s="68"/>
    </row>
    <row r="52" spans="1:7">
      <c r="A52" s="86" t="s">
        <v>53</v>
      </c>
      <c r="B52" s="87">
        <v>2500000</v>
      </c>
      <c r="C52" s="87">
        <v>1319078.64</v>
      </c>
      <c r="D52" s="88">
        <f>190785.91*6</f>
        <v>1144715.46</v>
      </c>
      <c r="E52" s="97">
        <f>C52+D52</f>
        <v>2463794.1</v>
      </c>
      <c r="F52" s="44">
        <f>E52-B52</f>
        <v>-36205.9000000004</v>
      </c>
      <c r="G52" s="90"/>
    </row>
    <row r="53" spans="1:7">
      <c r="A53" s="86" t="s">
        <v>54</v>
      </c>
      <c r="B53" s="87">
        <v>850000</v>
      </c>
      <c r="C53" s="87">
        <v>446097.73</v>
      </c>
      <c r="D53" s="88">
        <f>(C53/7)*5</f>
        <v>318641.235714286</v>
      </c>
      <c r="E53" s="89">
        <f>C53+D53</f>
        <v>764738.965714286</v>
      </c>
      <c r="F53" s="44">
        <f>E53-B53</f>
        <v>-85261.0342857144</v>
      </c>
      <c r="G53" s="90"/>
    </row>
    <row r="54" spans="1:7">
      <c r="A54" s="86"/>
      <c r="B54" s="87"/>
      <c r="C54" s="87"/>
      <c r="D54" s="88"/>
      <c r="E54" s="98"/>
      <c r="F54" s="44"/>
      <c r="G54" s="90"/>
    </row>
    <row r="55" spans="1:9">
      <c r="A55" s="83" t="s">
        <v>55</v>
      </c>
      <c r="B55" s="95">
        <f>SUM(B56:B59)</f>
        <v>5724675.3</v>
      </c>
      <c r="C55" s="95">
        <f>SUM(C56:C59)</f>
        <v>5910245.95</v>
      </c>
      <c r="D55" s="95">
        <f>SUM(D56:D59)</f>
        <v>4221604.25</v>
      </c>
      <c r="E55" s="95">
        <f>SUM(E56:E59)</f>
        <v>10131850.2</v>
      </c>
      <c r="F55" s="95">
        <f>SUM(F56:F59)</f>
        <v>4407174.9</v>
      </c>
      <c r="G55" s="96"/>
      <c r="I55" s="68"/>
    </row>
    <row r="56" spans="1:7">
      <c r="A56" s="51" t="s">
        <v>56</v>
      </c>
      <c r="B56" s="99">
        <v>1000</v>
      </c>
      <c r="C56" s="99">
        <v>1709.28</v>
      </c>
      <c r="D56" s="88">
        <f>(C56/7)*5</f>
        <v>1220.91428571429</v>
      </c>
      <c r="E56" s="89">
        <f>C56+D56</f>
        <v>2930.19428571429</v>
      </c>
      <c r="F56" s="44">
        <f>E56-B56</f>
        <v>1930.19428571429</v>
      </c>
      <c r="G56" s="90"/>
    </row>
    <row r="57" spans="1:7">
      <c r="A57" s="51" t="s">
        <v>57</v>
      </c>
      <c r="B57" s="99">
        <v>200</v>
      </c>
      <c r="C57" s="99">
        <v>0</v>
      </c>
      <c r="D57" s="88">
        <f>(C57/7)*5</f>
        <v>0</v>
      </c>
      <c r="E57" s="89">
        <f>C57+D57</f>
        <v>0</v>
      </c>
      <c r="F57" s="44">
        <f>E57-B57</f>
        <v>-200</v>
      </c>
      <c r="G57" s="90"/>
    </row>
    <row r="58" spans="1:7">
      <c r="A58" s="86" t="s">
        <v>58</v>
      </c>
      <c r="B58" s="87">
        <f>5723475.3-B59</f>
        <v>2403475.3</v>
      </c>
      <c r="C58" s="87">
        <f>5908536.67-C59</f>
        <v>2340863.64</v>
      </c>
      <c r="D58" s="88">
        <f>(C58/7)*5</f>
        <v>1672045.45714286</v>
      </c>
      <c r="E58" s="89">
        <f>C58+D58</f>
        <v>4012909.09714286</v>
      </c>
      <c r="F58" s="44">
        <f>E58-B58</f>
        <v>1609433.79714286</v>
      </c>
      <c r="G58" s="90"/>
    </row>
    <row r="59" spans="1:7">
      <c r="A59" s="86" t="s">
        <v>59</v>
      </c>
      <c r="B59" s="87">
        <v>3320000</v>
      </c>
      <c r="C59" s="87">
        <v>3567673.03</v>
      </c>
      <c r="D59" s="88">
        <f>(C59/7)*5</f>
        <v>2548337.87857143</v>
      </c>
      <c r="E59" s="97">
        <f>C59+D59</f>
        <v>6116010.90857143</v>
      </c>
      <c r="F59" s="44">
        <f>E59-B59</f>
        <v>2796010.90857143</v>
      </c>
      <c r="G59" s="90"/>
    </row>
    <row r="60" spans="1:7">
      <c r="A60" s="86"/>
      <c r="B60" s="87"/>
      <c r="C60" s="87"/>
      <c r="D60" s="88"/>
      <c r="E60" s="89"/>
      <c r="F60" s="44"/>
      <c r="G60" s="90"/>
    </row>
    <row r="61" spans="1:9">
      <c r="A61" s="83" t="s">
        <v>60</v>
      </c>
      <c r="B61" s="95">
        <f>SUM(B62:B78)</f>
        <v>1552500</v>
      </c>
      <c r="C61" s="95">
        <f>SUM(C62:C78)</f>
        <v>1173825.42</v>
      </c>
      <c r="D61" s="95">
        <f>SUM(D62:D78)</f>
        <v>650277.421428571</v>
      </c>
      <c r="E61" s="95">
        <f>SUM(E62:E78)</f>
        <v>1824102.84142857</v>
      </c>
      <c r="F61" s="95">
        <f>SUM(F62:F78)</f>
        <v>271602.841428571</v>
      </c>
      <c r="G61" s="96"/>
      <c r="I61" s="68"/>
    </row>
    <row r="62" spans="1:9">
      <c r="A62" s="51" t="s">
        <v>61</v>
      </c>
      <c r="B62" s="99">
        <v>200</v>
      </c>
      <c r="C62" s="99">
        <v>216.32</v>
      </c>
      <c r="D62" s="88">
        <v>50</v>
      </c>
      <c r="E62" s="89">
        <f t="shared" ref="E62:E78" si="5">C62+D62</f>
        <v>266.32</v>
      </c>
      <c r="F62" s="44">
        <f t="shared" ref="F62:F78" si="6">E62-B62</f>
        <v>66.32</v>
      </c>
      <c r="G62" s="68"/>
      <c r="I62" s="68"/>
    </row>
    <row r="63" spans="1:9">
      <c r="A63" s="51" t="s">
        <v>62</v>
      </c>
      <c r="B63" s="99">
        <v>0</v>
      </c>
      <c r="C63" s="99">
        <v>6.42</v>
      </c>
      <c r="D63" s="88">
        <v>10</v>
      </c>
      <c r="E63" s="89">
        <f t="shared" si="5"/>
        <v>16.42</v>
      </c>
      <c r="F63" s="44">
        <f t="shared" si="6"/>
        <v>16.42</v>
      </c>
      <c r="G63" s="68"/>
      <c r="I63" s="68"/>
    </row>
    <row r="64" spans="1:9">
      <c r="A64" s="51" t="s">
        <v>63</v>
      </c>
      <c r="B64" s="99">
        <v>0</v>
      </c>
      <c r="C64" s="99">
        <v>0</v>
      </c>
      <c r="D64" s="88">
        <v>0</v>
      </c>
      <c r="E64" s="89">
        <f t="shared" si="5"/>
        <v>0</v>
      </c>
      <c r="F64" s="44">
        <f t="shared" si="6"/>
        <v>0</v>
      </c>
      <c r="G64" s="68"/>
      <c r="I64" s="68"/>
    </row>
    <row r="65" spans="1:9">
      <c r="A65" s="51" t="s">
        <v>64</v>
      </c>
      <c r="B65" s="99">
        <v>0</v>
      </c>
      <c r="C65" s="99">
        <v>0</v>
      </c>
      <c r="D65" s="88">
        <v>0</v>
      </c>
      <c r="E65" s="89">
        <f t="shared" si="5"/>
        <v>0</v>
      </c>
      <c r="F65" s="44">
        <f t="shared" si="6"/>
        <v>0</v>
      </c>
      <c r="G65" s="68"/>
      <c r="I65" s="68"/>
    </row>
    <row r="66" spans="1:7">
      <c r="A66" s="86" t="s">
        <v>65</v>
      </c>
      <c r="B66" s="87">
        <v>20000</v>
      </c>
      <c r="C66" s="87">
        <v>263312.29</v>
      </c>
      <c r="D66" s="88">
        <v>0</v>
      </c>
      <c r="E66" s="89">
        <f t="shared" si="5"/>
        <v>263312.29</v>
      </c>
      <c r="F66" s="44">
        <f t="shared" si="6"/>
        <v>243312.29</v>
      </c>
      <c r="G66" s="68"/>
    </row>
    <row r="67" spans="1:7">
      <c r="A67" s="86" t="s">
        <v>66</v>
      </c>
      <c r="B67" s="87">
        <v>7200</v>
      </c>
      <c r="C67" s="87">
        <v>4793.83</v>
      </c>
      <c r="D67" s="88">
        <f t="shared" ref="D66:D75" si="7">(C67/7)*5</f>
        <v>3424.16428571429</v>
      </c>
      <c r="E67" s="89">
        <f t="shared" si="5"/>
        <v>8217.99428571429</v>
      </c>
      <c r="F67" s="44">
        <f t="shared" si="6"/>
        <v>1017.99428571429</v>
      </c>
      <c r="G67" s="68"/>
    </row>
    <row r="68" spans="1:7">
      <c r="A68" s="86" t="s">
        <v>67</v>
      </c>
      <c r="B68" s="87">
        <v>100</v>
      </c>
      <c r="C68" s="87">
        <v>11.1</v>
      </c>
      <c r="D68" s="88">
        <f t="shared" si="7"/>
        <v>7.92857142857143</v>
      </c>
      <c r="E68" s="89">
        <f t="shared" si="5"/>
        <v>19.0285714285714</v>
      </c>
      <c r="F68" s="44">
        <f t="shared" si="6"/>
        <v>-80.9714285714286</v>
      </c>
      <c r="G68" s="68"/>
    </row>
    <row r="69" spans="1:7">
      <c r="A69" s="86" t="s">
        <v>68</v>
      </c>
      <c r="B69" s="87">
        <v>0</v>
      </c>
      <c r="C69" s="87">
        <v>185.64</v>
      </c>
      <c r="D69" s="88">
        <f t="shared" si="7"/>
        <v>132.6</v>
      </c>
      <c r="E69" s="89">
        <f t="shared" si="5"/>
        <v>318.24</v>
      </c>
      <c r="F69" s="44">
        <f t="shared" si="6"/>
        <v>318.24</v>
      </c>
      <c r="G69" s="68"/>
    </row>
    <row r="70" spans="1:7">
      <c r="A70" s="86" t="s">
        <v>69</v>
      </c>
      <c r="B70" s="87">
        <v>0</v>
      </c>
      <c r="C70" s="87">
        <v>30.64</v>
      </c>
      <c r="D70" s="88">
        <f t="shared" si="7"/>
        <v>21.8857142857143</v>
      </c>
      <c r="E70" s="89">
        <f t="shared" si="5"/>
        <v>52.5257142857143</v>
      </c>
      <c r="F70" s="44">
        <f t="shared" si="6"/>
        <v>52.5257142857143</v>
      </c>
      <c r="G70" s="68"/>
    </row>
    <row r="71" spans="1:7">
      <c r="A71" s="86" t="s">
        <v>70</v>
      </c>
      <c r="B71" s="87">
        <v>1340000</v>
      </c>
      <c r="C71" s="87">
        <v>774886.39</v>
      </c>
      <c r="D71" s="88">
        <f t="shared" si="7"/>
        <v>553490.278571429</v>
      </c>
      <c r="E71" s="89">
        <f t="shared" si="5"/>
        <v>1328376.66857143</v>
      </c>
      <c r="F71" s="44">
        <f t="shared" si="6"/>
        <v>-11623.3314285714</v>
      </c>
      <c r="G71" s="68"/>
    </row>
    <row r="72" spans="1:7">
      <c r="A72" s="86" t="s">
        <v>71</v>
      </c>
      <c r="B72" s="87">
        <v>10000</v>
      </c>
      <c r="C72" s="87">
        <v>6429.03</v>
      </c>
      <c r="D72" s="88">
        <f t="shared" si="7"/>
        <v>4592.16428571429</v>
      </c>
      <c r="E72" s="89">
        <f t="shared" si="5"/>
        <v>11021.1942857143</v>
      </c>
      <c r="F72" s="44">
        <f t="shared" si="6"/>
        <v>1021.19428571429</v>
      </c>
      <c r="G72" s="68"/>
    </row>
    <row r="73" spans="1:7">
      <c r="A73" s="86" t="s">
        <v>72</v>
      </c>
      <c r="B73" s="87">
        <v>130000</v>
      </c>
      <c r="C73" s="87">
        <v>99515.04</v>
      </c>
      <c r="D73" s="88">
        <f t="shared" si="7"/>
        <v>71082.1714285714</v>
      </c>
      <c r="E73" s="89">
        <f t="shared" si="5"/>
        <v>170597.211428571</v>
      </c>
      <c r="F73" s="44">
        <f t="shared" si="6"/>
        <v>40597.2114285714</v>
      </c>
      <c r="G73" s="68"/>
    </row>
    <row r="74" spans="1:7">
      <c r="A74" s="86" t="s">
        <v>73</v>
      </c>
      <c r="B74" s="87">
        <v>20000</v>
      </c>
      <c r="C74" s="87">
        <v>12814.68</v>
      </c>
      <c r="D74" s="88">
        <f t="shared" si="7"/>
        <v>9153.34285714286</v>
      </c>
      <c r="E74" s="89">
        <f t="shared" si="5"/>
        <v>21968.0228571429</v>
      </c>
      <c r="F74" s="44">
        <f t="shared" si="6"/>
        <v>1968.02285714286</v>
      </c>
      <c r="G74" s="68"/>
    </row>
    <row r="75" spans="1:7">
      <c r="A75" s="86" t="s">
        <v>74</v>
      </c>
      <c r="B75" s="87">
        <v>22400</v>
      </c>
      <c r="C75" s="87">
        <v>11071.8</v>
      </c>
      <c r="D75" s="88">
        <f t="shared" si="7"/>
        <v>7908.42857142857</v>
      </c>
      <c r="E75" s="89">
        <f t="shared" si="5"/>
        <v>18980.2285714286</v>
      </c>
      <c r="F75" s="44">
        <f t="shared" si="6"/>
        <v>-3419.77142857143</v>
      </c>
      <c r="G75" s="68"/>
    </row>
    <row r="76" spans="1:7">
      <c r="A76" s="86" t="s">
        <v>75</v>
      </c>
      <c r="B76" s="87">
        <v>100</v>
      </c>
      <c r="C76" s="87">
        <v>0</v>
      </c>
      <c r="D76" s="88">
        <v>10</v>
      </c>
      <c r="E76" s="89">
        <f t="shared" si="5"/>
        <v>10</v>
      </c>
      <c r="F76" s="44">
        <f t="shared" si="6"/>
        <v>-90</v>
      </c>
      <c r="G76" s="68"/>
    </row>
    <row r="77" spans="1:7">
      <c r="A77" s="86" t="s">
        <v>76</v>
      </c>
      <c r="B77" s="87">
        <v>2000</v>
      </c>
      <c r="C77" s="87">
        <v>478.45</v>
      </c>
      <c r="D77" s="88">
        <f>(C77/7)*5</f>
        <v>341.75</v>
      </c>
      <c r="E77" s="89">
        <f t="shared" si="5"/>
        <v>820.2</v>
      </c>
      <c r="F77" s="44">
        <f t="shared" si="6"/>
        <v>-1179.8</v>
      </c>
      <c r="G77" s="68"/>
    </row>
    <row r="78" spans="1:7">
      <c r="A78" s="86" t="s">
        <v>77</v>
      </c>
      <c r="B78" s="87">
        <v>500</v>
      </c>
      <c r="C78" s="87">
        <v>73.79</v>
      </c>
      <c r="D78" s="88">
        <f>(C78/7)*5</f>
        <v>52.7071428571429</v>
      </c>
      <c r="E78" s="89">
        <f t="shared" si="5"/>
        <v>126.497142857143</v>
      </c>
      <c r="F78" s="44">
        <f t="shared" si="6"/>
        <v>-373.502857142857</v>
      </c>
      <c r="G78" s="68"/>
    </row>
    <row r="79" spans="1:6">
      <c r="A79" s="86"/>
      <c r="B79" s="87"/>
      <c r="C79" s="87"/>
      <c r="D79" s="88"/>
      <c r="E79" s="89"/>
      <c r="F79" s="44"/>
    </row>
    <row r="80" spans="1:9">
      <c r="A80" s="83" t="s">
        <v>78</v>
      </c>
      <c r="B80" s="95">
        <f>B81+B114+B134+B136</f>
        <v>62757260</v>
      </c>
      <c r="C80" s="95">
        <f>C81+C114+C134+C136</f>
        <v>38153574.53</v>
      </c>
      <c r="D80" s="95">
        <f>D81+D114+D134+D136</f>
        <v>28380798.0371429</v>
      </c>
      <c r="E80" s="95">
        <f>E81+E114+E134+E136</f>
        <v>66534372.5671429</v>
      </c>
      <c r="F80" s="95">
        <f>F81+F114+F134+F136</f>
        <v>3777112.56714285</v>
      </c>
      <c r="I80" s="68"/>
    </row>
    <row r="81" spans="1:9">
      <c r="A81" s="100" t="s">
        <v>79</v>
      </c>
      <c r="B81" s="101">
        <f>SUM(B82:B85)+B86+B93+B100+B110</f>
        <v>28942360</v>
      </c>
      <c r="C81" s="101">
        <f>SUM(C82:C85)+C86+C93+C100+C110</f>
        <v>17441068.01</v>
      </c>
      <c r="D81" s="101">
        <f>SUM(D82:D85)+D86+D93+D100+D110</f>
        <v>12269081.2571429</v>
      </c>
      <c r="E81" s="101">
        <f>SUM(E82:E85)+E86+E93+E100+E110</f>
        <v>29710149.2671429</v>
      </c>
      <c r="F81" s="101">
        <f>SUM(F82:F85)+F86+F93+F100+F110</f>
        <v>767789.267142857</v>
      </c>
      <c r="I81" s="68"/>
    </row>
    <row r="82" spans="1:9">
      <c r="A82" s="102" t="s">
        <v>80</v>
      </c>
      <c r="B82" s="103">
        <v>21930000</v>
      </c>
      <c r="C82" s="103">
        <v>13329021.81</v>
      </c>
      <c r="D82" s="103">
        <f>22834406-C82</f>
        <v>9505384.19</v>
      </c>
      <c r="E82" s="104">
        <f>C82+D82</f>
        <v>22834406</v>
      </c>
      <c r="F82" s="105">
        <f>E82-B82</f>
        <v>904406</v>
      </c>
      <c r="I82" s="68"/>
    </row>
    <row r="83" spans="1:9">
      <c r="A83" s="102" t="s">
        <v>81</v>
      </c>
      <c r="B83" s="103">
        <v>2060000</v>
      </c>
      <c r="C83" s="103">
        <v>972358.77</v>
      </c>
      <c r="D83" s="103">
        <v>746000</v>
      </c>
      <c r="E83" s="104">
        <f>C83+D83</f>
        <v>1718358.77</v>
      </c>
      <c r="F83" s="105">
        <f>E83-B83</f>
        <v>-341641.23</v>
      </c>
      <c r="I83" s="68"/>
    </row>
    <row r="84" spans="1:9">
      <c r="A84" s="102" t="s">
        <v>82</v>
      </c>
      <c r="B84" s="103">
        <v>12000</v>
      </c>
      <c r="C84" s="103">
        <v>668.19</v>
      </c>
      <c r="D84" s="103">
        <f>B84-C84</f>
        <v>11331.81</v>
      </c>
      <c r="E84" s="104">
        <f>C84+D84</f>
        <v>12000</v>
      </c>
      <c r="F84" s="105">
        <f>E84-B84</f>
        <v>0</v>
      </c>
      <c r="I84" s="68"/>
    </row>
    <row r="85" spans="1:6">
      <c r="A85" s="86" t="s">
        <v>83</v>
      </c>
      <c r="B85" s="87">
        <v>570000</v>
      </c>
      <c r="C85" s="87">
        <v>225390.62</v>
      </c>
      <c r="D85" s="87">
        <f t="shared" ref="D85:D91" si="8">(C85/7)*5</f>
        <v>160993.3</v>
      </c>
      <c r="E85" s="89">
        <f t="shared" ref="E85:E91" si="9">C85+D85</f>
        <v>386383.92</v>
      </c>
      <c r="F85" s="52">
        <f t="shared" ref="F85:F91" si="10">E85-B85</f>
        <v>-183616.08</v>
      </c>
    </row>
    <row r="86" spans="1:6">
      <c r="A86" s="106" t="s">
        <v>84</v>
      </c>
      <c r="B86" s="107">
        <f>SUM(B87:B91)</f>
        <v>3053860</v>
      </c>
      <c r="C86" s="107">
        <f>SUM(C87:C91)</f>
        <v>1970704.9</v>
      </c>
      <c r="D86" s="107">
        <f>SUM(D87:D91)</f>
        <v>1407646.35714286</v>
      </c>
      <c r="E86" s="107">
        <f>SUM(E87:E91)</f>
        <v>3378351.25714286</v>
      </c>
      <c r="F86" s="107">
        <f>SUM(F87:F91)</f>
        <v>324491.257142857</v>
      </c>
    </row>
    <row r="87" spans="1:8">
      <c r="A87" s="108" t="s">
        <v>85</v>
      </c>
      <c r="B87" s="109">
        <v>1702000</v>
      </c>
      <c r="C87" s="109">
        <v>1123916.3</v>
      </c>
      <c r="D87" s="109">
        <f t="shared" si="8"/>
        <v>802797.357142857</v>
      </c>
      <c r="E87" s="110">
        <f t="shared" si="9"/>
        <v>1926713.65714286</v>
      </c>
      <c r="F87" s="111">
        <f t="shared" si="10"/>
        <v>224713.657142857</v>
      </c>
      <c r="G87" s="90"/>
      <c r="H87" s="74"/>
    </row>
    <row r="88" spans="1:8">
      <c r="A88" s="108" t="s">
        <v>86</v>
      </c>
      <c r="B88" s="109">
        <v>282600</v>
      </c>
      <c r="C88" s="109">
        <v>225392.16</v>
      </c>
      <c r="D88" s="109">
        <f t="shared" si="8"/>
        <v>160994.4</v>
      </c>
      <c r="E88" s="110">
        <f t="shared" si="9"/>
        <v>386386.56</v>
      </c>
      <c r="F88" s="111">
        <f t="shared" si="10"/>
        <v>103786.56</v>
      </c>
      <c r="G88" s="96"/>
      <c r="H88" s="74"/>
    </row>
    <row r="89" spans="1:8">
      <c r="A89" s="108" t="s">
        <v>87</v>
      </c>
      <c r="B89" s="109">
        <v>39800</v>
      </c>
      <c r="C89" s="109">
        <v>113928.61</v>
      </c>
      <c r="D89" s="109">
        <f t="shared" si="8"/>
        <v>81377.5785714286</v>
      </c>
      <c r="E89" s="110">
        <f t="shared" si="9"/>
        <v>195306.188571429</v>
      </c>
      <c r="F89" s="111">
        <f t="shared" si="10"/>
        <v>155506.188571429</v>
      </c>
      <c r="G89" s="96"/>
      <c r="H89" s="74"/>
    </row>
    <row r="90" spans="1:8">
      <c r="A90" s="108" t="s">
        <v>88</v>
      </c>
      <c r="B90" s="109">
        <v>945360</v>
      </c>
      <c r="C90" s="109">
        <v>458400</v>
      </c>
      <c r="D90" s="109">
        <f t="shared" si="8"/>
        <v>327428.571428571</v>
      </c>
      <c r="E90" s="110">
        <f t="shared" si="9"/>
        <v>785828.571428571</v>
      </c>
      <c r="F90" s="111">
        <f t="shared" si="10"/>
        <v>-159531.428571429</v>
      </c>
      <c r="G90" s="96"/>
      <c r="H90" s="74"/>
    </row>
    <row r="91" spans="1:8">
      <c r="A91" s="108" t="s">
        <v>89</v>
      </c>
      <c r="B91" s="109">
        <v>84100</v>
      </c>
      <c r="C91" s="109">
        <v>49067.83</v>
      </c>
      <c r="D91" s="109">
        <f t="shared" si="8"/>
        <v>35048.45</v>
      </c>
      <c r="E91" s="110">
        <f t="shared" si="9"/>
        <v>84116.28</v>
      </c>
      <c r="F91" s="111">
        <f t="shared" si="10"/>
        <v>16.2799999999988</v>
      </c>
      <c r="G91" s="90"/>
      <c r="H91" s="74"/>
    </row>
    <row r="92" spans="1:8">
      <c r="A92" s="86"/>
      <c r="B92" s="112"/>
      <c r="C92" s="112"/>
      <c r="D92" s="87"/>
      <c r="E92" s="89"/>
      <c r="F92" s="52"/>
      <c r="G92" s="90"/>
      <c r="H92" s="74"/>
    </row>
    <row r="93" spans="1:8">
      <c r="A93" s="113" t="s">
        <v>90</v>
      </c>
      <c r="B93" s="114">
        <f>SUM(B94:B98)</f>
        <v>72800</v>
      </c>
      <c r="C93" s="114">
        <f>SUM(C94:C98)</f>
        <v>117727.03</v>
      </c>
      <c r="D93" s="115">
        <f>SUM(D94:D98)</f>
        <v>-35327.03</v>
      </c>
      <c r="E93" s="116">
        <f>SUM(E94:E98)</f>
        <v>82400</v>
      </c>
      <c r="F93" s="116">
        <f>SUM(F94:F98)</f>
        <v>9600</v>
      </c>
      <c r="G93" s="90"/>
      <c r="H93" s="74"/>
    </row>
    <row r="94" spans="1:8">
      <c r="A94" s="117" t="s">
        <v>91</v>
      </c>
      <c r="B94" s="118">
        <v>72800</v>
      </c>
      <c r="C94" s="118">
        <v>16800</v>
      </c>
      <c r="D94" s="119">
        <f t="shared" ref="D94:D96" si="11">B94-C94</f>
        <v>56000</v>
      </c>
      <c r="E94" s="120">
        <f>C94+D94</f>
        <v>72800</v>
      </c>
      <c r="F94" s="121">
        <f>E94-B94</f>
        <v>0</v>
      </c>
      <c r="G94" s="90"/>
      <c r="H94" s="74"/>
    </row>
    <row r="95" spans="1:8">
      <c r="A95" s="117" t="s">
        <v>92</v>
      </c>
      <c r="B95" s="118">
        <v>0</v>
      </c>
      <c r="C95" s="118">
        <v>56709.47</v>
      </c>
      <c r="D95" s="119">
        <f t="shared" si="11"/>
        <v>-56709.47</v>
      </c>
      <c r="E95" s="120">
        <f>C95+D95</f>
        <v>0</v>
      </c>
      <c r="F95" s="121">
        <f>E95-B95</f>
        <v>0</v>
      </c>
      <c r="G95" s="94"/>
      <c r="H95" s="74"/>
    </row>
    <row r="96" spans="1:8">
      <c r="A96" s="117" t="s">
        <v>93</v>
      </c>
      <c r="B96" s="118">
        <v>0</v>
      </c>
      <c r="C96" s="118">
        <v>26617.56</v>
      </c>
      <c r="D96" s="119">
        <f t="shared" si="11"/>
        <v>-26617.56</v>
      </c>
      <c r="E96" s="120">
        <f>C96+D96</f>
        <v>0</v>
      </c>
      <c r="F96" s="121">
        <f>E96-B96</f>
        <v>0</v>
      </c>
      <c r="G96" s="90"/>
      <c r="H96" s="74"/>
    </row>
    <row r="97" spans="1:8">
      <c r="A97" s="117" t="s">
        <v>94</v>
      </c>
      <c r="B97" s="118">
        <v>0</v>
      </c>
      <c r="C97" s="118">
        <v>5600</v>
      </c>
      <c r="D97" s="119">
        <f>C97/7*5</f>
        <v>4000</v>
      </c>
      <c r="E97" s="120">
        <f>C97+D97</f>
        <v>9600</v>
      </c>
      <c r="F97" s="121">
        <f>E97-B97</f>
        <v>9600</v>
      </c>
      <c r="G97" s="90"/>
      <c r="H97" s="74"/>
    </row>
    <row r="98" spans="1:8">
      <c r="A98" s="117" t="s">
        <v>95</v>
      </c>
      <c r="B98" s="118">
        <v>0</v>
      </c>
      <c r="C98" s="118">
        <v>12000</v>
      </c>
      <c r="D98" s="119">
        <f>B98-C98</f>
        <v>-12000</v>
      </c>
      <c r="E98" s="120">
        <f>C98+D98</f>
        <v>0</v>
      </c>
      <c r="F98" s="121">
        <f>E98-B98</f>
        <v>0</v>
      </c>
      <c r="G98" s="90"/>
      <c r="H98" s="74"/>
    </row>
    <row r="99" s="74" customFormat="1" spans="1:7">
      <c r="A99" s="86"/>
      <c r="B99" s="112"/>
      <c r="C99" s="112"/>
      <c r="D99" s="87"/>
      <c r="E99" s="89"/>
      <c r="F99" s="52"/>
      <c r="G99" s="90"/>
    </row>
    <row r="100" spans="1:8">
      <c r="A100" s="122" t="s">
        <v>96</v>
      </c>
      <c r="B100" s="123">
        <f>SUM(B101:B108)</f>
        <v>1103700</v>
      </c>
      <c r="C100" s="123">
        <f>SUM(C101:C108)</f>
        <v>749433.59</v>
      </c>
      <c r="D100" s="123">
        <f>SUM(D101:D108)</f>
        <v>418936.13</v>
      </c>
      <c r="E100" s="124">
        <f>SUM(E101:E108)</f>
        <v>1168369.72</v>
      </c>
      <c r="F100" s="124">
        <f>SUM(F101:F108)</f>
        <v>64669.72</v>
      </c>
      <c r="G100" s="90"/>
      <c r="H100" s="74"/>
    </row>
    <row r="101" spans="1:8">
      <c r="A101" s="125" t="s">
        <v>97</v>
      </c>
      <c r="B101" s="126">
        <v>830000</v>
      </c>
      <c r="C101" s="126">
        <v>554103.07</v>
      </c>
      <c r="D101" s="127">
        <f>868164-C101</f>
        <v>314060.93</v>
      </c>
      <c r="E101" s="128">
        <f>C101+D101:D102</f>
        <v>868164</v>
      </c>
      <c r="F101" s="129">
        <f t="shared" ref="F101:F108" si="12">E101-B101</f>
        <v>38164</v>
      </c>
      <c r="G101" s="96"/>
      <c r="H101" s="74"/>
    </row>
    <row r="102" spans="1:8">
      <c r="A102" s="125" t="s">
        <v>98</v>
      </c>
      <c r="B102" s="126">
        <v>85700</v>
      </c>
      <c r="C102" s="126">
        <v>67865.6</v>
      </c>
      <c r="D102" s="126">
        <f>8471.6*4</f>
        <v>33886.4</v>
      </c>
      <c r="E102" s="128">
        <f>C102+D102:D106</f>
        <v>101752</v>
      </c>
      <c r="F102" s="129">
        <f t="shared" si="12"/>
        <v>16052</v>
      </c>
      <c r="G102" s="90"/>
      <c r="H102" s="74"/>
    </row>
    <row r="103" spans="1:8">
      <c r="A103" s="125" t="s">
        <v>99</v>
      </c>
      <c r="B103" s="126">
        <v>67400</v>
      </c>
      <c r="C103" s="126">
        <v>50054.4</v>
      </c>
      <c r="D103" s="126">
        <v>26792.8</v>
      </c>
      <c r="E103" s="128">
        <f>C103+D103:D107</f>
        <v>76847.2</v>
      </c>
      <c r="F103" s="129">
        <f t="shared" si="12"/>
        <v>9447.2</v>
      </c>
      <c r="G103" s="90"/>
      <c r="H103" s="74"/>
    </row>
    <row r="104" spans="1:8">
      <c r="A104" s="125" t="s">
        <v>100</v>
      </c>
      <c r="B104" s="126">
        <v>41000</v>
      </c>
      <c r="C104" s="126">
        <v>31184.2</v>
      </c>
      <c r="D104" s="126">
        <f>3675.2*4</f>
        <v>14700.8</v>
      </c>
      <c r="E104" s="128">
        <f>C104+D104:D114</f>
        <v>45885</v>
      </c>
      <c r="F104" s="129">
        <f t="shared" si="12"/>
        <v>4885</v>
      </c>
      <c r="G104" s="90"/>
      <c r="H104" s="74"/>
    </row>
    <row r="105" spans="1:8">
      <c r="A105" s="125" t="s">
        <v>101</v>
      </c>
      <c r="B105" s="126">
        <v>1000</v>
      </c>
      <c r="C105" s="126">
        <v>707.4</v>
      </c>
      <c r="D105" s="126">
        <f>63.6*4</f>
        <v>254.4</v>
      </c>
      <c r="E105" s="128">
        <f>C105+D105:D115</f>
        <v>961.8</v>
      </c>
      <c r="F105" s="129">
        <f t="shared" si="12"/>
        <v>-38.2</v>
      </c>
      <c r="G105" s="90"/>
      <c r="H105" s="74"/>
    </row>
    <row r="106" spans="1:8">
      <c r="A106" s="125" t="s">
        <v>102</v>
      </c>
      <c r="B106" s="126">
        <v>60000</v>
      </c>
      <c r="C106" s="126">
        <v>33780.34</v>
      </c>
      <c r="D106" s="126">
        <f>5205.6*4</f>
        <v>20822.4</v>
      </c>
      <c r="E106" s="128">
        <f>C106+D106:D107</f>
        <v>54602.74</v>
      </c>
      <c r="F106" s="129">
        <f t="shared" si="12"/>
        <v>-5397.26</v>
      </c>
      <c r="G106" s="90"/>
      <c r="H106" s="74"/>
    </row>
    <row r="107" spans="1:8">
      <c r="A107" s="125" t="s">
        <v>103</v>
      </c>
      <c r="B107" s="126">
        <v>11000</v>
      </c>
      <c r="C107" s="126">
        <v>5120.15</v>
      </c>
      <c r="D107" s="126">
        <f>823.54*4</f>
        <v>3294.16</v>
      </c>
      <c r="E107" s="128">
        <f>SUM(C107:D107)</f>
        <v>8414.31</v>
      </c>
      <c r="F107" s="129">
        <f t="shared" si="12"/>
        <v>-2585.69</v>
      </c>
      <c r="G107" s="90"/>
      <c r="H107" s="74"/>
    </row>
    <row r="108" spans="1:8">
      <c r="A108" s="125" t="s">
        <v>104</v>
      </c>
      <c r="B108" s="126">
        <v>7600</v>
      </c>
      <c r="C108" s="126">
        <v>6618.43</v>
      </c>
      <c r="D108" s="126">
        <v>5124.24</v>
      </c>
      <c r="E108" s="128">
        <f>SUM(C108:D108)</f>
        <v>11742.67</v>
      </c>
      <c r="F108" s="129">
        <f t="shared" si="12"/>
        <v>4142.67</v>
      </c>
      <c r="G108" s="90"/>
      <c r="H108" s="74"/>
    </row>
    <row r="109" s="74" customFormat="1" spans="1:7">
      <c r="A109" s="86"/>
      <c r="B109" s="112"/>
      <c r="C109" s="112"/>
      <c r="D109" s="112"/>
      <c r="E109" s="89"/>
      <c r="F109" s="52"/>
      <c r="G109" s="90"/>
    </row>
    <row r="110" spans="1:8">
      <c r="A110" s="130" t="s">
        <v>105</v>
      </c>
      <c r="B110" s="131">
        <f>SUM(B112+B111)</f>
        <v>140000</v>
      </c>
      <c r="C110" s="131">
        <f>SUM(C111:C112)</f>
        <v>75763.1</v>
      </c>
      <c r="D110" s="131">
        <f>SUM(D111:D112)</f>
        <v>54116.5</v>
      </c>
      <c r="E110" s="131">
        <f>SUM(E111:E112)</f>
        <v>129879.6</v>
      </c>
      <c r="F110" s="131">
        <f>SUM(F111:F112)</f>
        <v>-10120.4</v>
      </c>
      <c r="G110" s="132"/>
      <c r="H110" s="74"/>
    </row>
    <row r="111" customFormat="1" ht="15" spans="1:8">
      <c r="A111" s="133" t="s">
        <v>106</v>
      </c>
      <c r="B111" s="134">
        <v>140000</v>
      </c>
      <c r="C111" s="134">
        <v>75763.1</v>
      </c>
      <c r="D111" s="134">
        <f>(C111/7)*5</f>
        <v>54116.5</v>
      </c>
      <c r="E111" s="135">
        <f>C111+D111</f>
        <v>129879.6</v>
      </c>
      <c r="F111" s="136">
        <f>E111-B111</f>
        <v>-10120.4</v>
      </c>
      <c r="G111" s="132"/>
      <c r="H111" s="74"/>
    </row>
    <row r="112" s="75" customFormat="1" spans="1:8">
      <c r="A112" s="133" t="s">
        <v>107</v>
      </c>
      <c r="B112" s="134">
        <v>0</v>
      </c>
      <c r="C112" s="134">
        <v>0</v>
      </c>
      <c r="D112" s="134">
        <v>0</v>
      </c>
      <c r="E112" s="135">
        <f>C112+D112</f>
        <v>0</v>
      </c>
      <c r="F112" s="136">
        <f>E112-B112</f>
        <v>0</v>
      </c>
      <c r="G112" s="90"/>
      <c r="H112" s="137"/>
    </row>
    <row r="113" s="74" customFormat="1" spans="1:7">
      <c r="A113" s="86"/>
      <c r="B113" s="112"/>
      <c r="C113" s="112"/>
      <c r="D113" s="112"/>
      <c r="E113" s="89"/>
      <c r="F113" s="52"/>
      <c r="G113" s="90"/>
    </row>
    <row r="114" spans="1:8">
      <c r="A114" s="138" t="s">
        <v>108</v>
      </c>
      <c r="B114" s="139">
        <f>SUM(B115:B118)+B119+B127+B131</f>
        <v>21511200</v>
      </c>
      <c r="C114" s="139">
        <f>SUM(C115:C118)+C119+C127</f>
        <v>14014331.72</v>
      </c>
      <c r="D114" s="139">
        <f>SUM(D115:D118)+D119+D127</f>
        <v>11340260.0428571</v>
      </c>
      <c r="E114" s="140">
        <f>SUM(E115:E118)+E119+E127</f>
        <v>25354591.7628571</v>
      </c>
      <c r="F114" s="140">
        <f>SUM(F115:F118)+F119+F127</f>
        <v>3843391.76285714</v>
      </c>
      <c r="G114" s="141"/>
      <c r="H114" s="74"/>
    </row>
    <row r="115" spans="1:8">
      <c r="A115" s="142" t="s">
        <v>109</v>
      </c>
      <c r="B115" s="143">
        <v>17450000</v>
      </c>
      <c r="C115" s="143">
        <v>10086205.74</v>
      </c>
      <c r="D115" s="143">
        <f>18412585-C115</f>
        <v>8326379.26</v>
      </c>
      <c r="E115" s="144">
        <f>C115+D115</f>
        <v>18412585</v>
      </c>
      <c r="F115" s="145">
        <f>E115-B115</f>
        <v>962585</v>
      </c>
      <c r="G115" s="90"/>
      <c r="H115" s="74"/>
    </row>
    <row r="116" spans="1:8">
      <c r="A116" s="142" t="s">
        <v>110</v>
      </c>
      <c r="B116" s="143">
        <v>2600000</v>
      </c>
      <c r="C116" s="143">
        <v>2182002.88</v>
      </c>
      <c r="D116" s="143">
        <f>3688687-C116</f>
        <v>1506684.12</v>
      </c>
      <c r="E116" s="144">
        <f>C116+D116</f>
        <v>3688687</v>
      </c>
      <c r="F116" s="145">
        <f>E116-B116</f>
        <v>1088687</v>
      </c>
      <c r="G116" s="90"/>
      <c r="H116" s="74"/>
    </row>
    <row r="117" spans="1:8">
      <c r="A117" s="142" t="s">
        <v>111</v>
      </c>
      <c r="B117" s="143">
        <v>226000</v>
      </c>
      <c r="C117" s="143">
        <v>100697.52</v>
      </c>
      <c r="D117" s="143">
        <f>192415-C117</f>
        <v>91717.48</v>
      </c>
      <c r="E117" s="144">
        <f>C117+D117</f>
        <v>192415</v>
      </c>
      <c r="F117" s="145">
        <f>E117-B117</f>
        <v>-33585</v>
      </c>
      <c r="G117" s="90"/>
      <c r="H117" s="74"/>
    </row>
    <row r="118" spans="1:8">
      <c r="A118" s="142" t="s">
        <v>112</v>
      </c>
      <c r="B118" s="143">
        <v>15000</v>
      </c>
      <c r="C118" s="143">
        <v>94.68</v>
      </c>
      <c r="D118" s="143">
        <f>C118/3</f>
        <v>31.56</v>
      </c>
      <c r="E118" s="144">
        <f>C118+D118</f>
        <v>126.24</v>
      </c>
      <c r="F118" s="145">
        <f>E118-B118</f>
        <v>-14873.76</v>
      </c>
      <c r="G118" s="90"/>
      <c r="H118" s="74"/>
    </row>
    <row r="119" spans="1:8">
      <c r="A119" s="146" t="s">
        <v>113</v>
      </c>
      <c r="B119" s="147">
        <f>SUM(B120:B125)</f>
        <v>675300</v>
      </c>
      <c r="C119" s="147">
        <f>SUM(C120:C124)</f>
        <v>1241796.98</v>
      </c>
      <c r="D119" s="147">
        <f>SUM(D120:D124)</f>
        <v>886997.842857143</v>
      </c>
      <c r="E119" s="148">
        <f>SUM(E120:E124)</f>
        <v>2128794.82285714</v>
      </c>
      <c r="F119" s="148">
        <f>SUM(F120:F124)</f>
        <v>1453494.82285714</v>
      </c>
      <c r="G119" s="141"/>
      <c r="H119" s="74"/>
    </row>
    <row r="120" spans="1:8">
      <c r="A120" s="149" t="s">
        <v>114</v>
      </c>
      <c r="B120" s="150">
        <v>34800</v>
      </c>
      <c r="C120" s="150">
        <v>198786.92</v>
      </c>
      <c r="D120" s="151">
        <f>(C120/7)*5</f>
        <v>141990.657142857</v>
      </c>
      <c r="E120" s="152">
        <f>C120+D120</f>
        <v>340777.577142857</v>
      </c>
      <c r="F120" s="153">
        <f>E120-B120</f>
        <v>305977.577142857</v>
      </c>
      <c r="G120" s="90"/>
      <c r="H120" s="74"/>
    </row>
    <row r="121" spans="1:8">
      <c r="A121" s="149" t="s">
        <v>115</v>
      </c>
      <c r="B121" s="150">
        <v>131500</v>
      </c>
      <c r="C121" s="150">
        <v>76716.5</v>
      </c>
      <c r="D121" s="151">
        <f>(C121/7)*5</f>
        <v>54797.5</v>
      </c>
      <c r="E121" s="152">
        <f>C121+D121</f>
        <v>131514</v>
      </c>
      <c r="F121" s="153">
        <f>E121-B121</f>
        <v>14</v>
      </c>
      <c r="G121" s="90"/>
      <c r="H121" s="74"/>
    </row>
    <row r="122" spans="1:8">
      <c r="A122" s="149" t="s">
        <v>116</v>
      </c>
      <c r="B122" s="150">
        <v>245600</v>
      </c>
      <c r="C122" s="150">
        <v>419272.89</v>
      </c>
      <c r="D122" s="151">
        <f>(C122/7)*5</f>
        <v>299480.635714286</v>
      </c>
      <c r="E122" s="152">
        <f>C122+D122</f>
        <v>718753.525714286</v>
      </c>
      <c r="F122" s="153">
        <f>E122-B122</f>
        <v>473153.525714286</v>
      </c>
      <c r="G122" s="90"/>
      <c r="H122" s="74"/>
    </row>
    <row r="123" spans="1:8">
      <c r="A123" s="149" t="s">
        <v>117</v>
      </c>
      <c r="B123" s="150">
        <v>263400</v>
      </c>
      <c r="C123" s="150">
        <v>535020.67</v>
      </c>
      <c r="D123" s="151">
        <f>(C123/7)*5</f>
        <v>382157.621428571</v>
      </c>
      <c r="E123" s="152">
        <f>C123+D123</f>
        <v>917178.291428571</v>
      </c>
      <c r="F123" s="153">
        <f>E123-B123</f>
        <v>653778.291428571</v>
      </c>
      <c r="G123" s="90"/>
      <c r="H123" s="74"/>
    </row>
    <row r="124" spans="1:8">
      <c r="A124" s="149" t="s">
        <v>118</v>
      </c>
      <c r="B124" s="150">
        <v>0</v>
      </c>
      <c r="C124" s="150">
        <v>12000</v>
      </c>
      <c r="D124" s="151">
        <f>(C124/7)*5</f>
        <v>8571.42857142857</v>
      </c>
      <c r="E124" s="152">
        <f>C124+D124</f>
        <v>20571.4285714286</v>
      </c>
      <c r="F124" s="153">
        <f>E124-B124</f>
        <v>20571.4285714286</v>
      </c>
      <c r="G124" s="90"/>
      <c r="H124" s="74"/>
    </row>
    <row r="125" spans="1:8">
      <c r="A125" s="149"/>
      <c r="B125" s="150"/>
      <c r="C125" s="150"/>
      <c r="D125" s="151"/>
      <c r="E125" s="152"/>
      <c r="F125" s="153"/>
      <c r="G125" s="90"/>
      <c r="H125" s="74"/>
    </row>
    <row r="126" spans="1:8">
      <c r="A126" s="86"/>
      <c r="B126" s="112"/>
      <c r="C126" s="112"/>
      <c r="D126" s="112"/>
      <c r="E126" s="89"/>
      <c r="F126" s="52"/>
      <c r="G126" s="90"/>
      <c r="H126" s="74"/>
    </row>
    <row r="127" spans="1:8">
      <c r="A127" s="154" t="s">
        <v>119</v>
      </c>
      <c r="B127" s="155">
        <f>B128+B129</f>
        <v>541900</v>
      </c>
      <c r="C127" s="155">
        <f t="shared" ref="C127:F127" si="13">C128+C129+C131+C130</f>
        <v>403533.92</v>
      </c>
      <c r="D127" s="155">
        <f t="shared" si="13"/>
        <v>528449.78</v>
      </c>
      <c r="E127" s="155">
        <f t="shared" si="13"/>
        <v>931983.7</v>
      </c>
      <c r="F127" s="155">
        <f t="shared" si="13"/>
        <v>387083.7</v>
      </c>
      <c r="G127" s="141"/>
      <c r="H127" s="74"/>
    </row>
    <row r="128" spans="1:8">
      <c r="A128" s="156" t="s">
        <v>120</v>
      </c>
      <c r="B128" s="157">
        <v>540000</v>
      </c>
      <c r="C128" s="157">
        <v>335896.12</v>
      </c>
      <c r="D128" s="157">
        <f>65872.71*4</f>
        <v>263490.84</v>
      </c>
      <c r="E128" s="158">
        <f>C128+D128</f>
        <v>599386.96</v>
      </c>
      <c r="F128" s="159">
        <f t="shared" ref="F128:F132" si="14">E128-B128</f>
        <v>59386.96</v>
      </c>
      <c r="G128" s="90"/>
      <c r="H128" s="74"/>
    </row>
    <row r="129" spans="1:8">
      <c r="A129" s="156" t="s">
        <v>121</v>
      </c>
      <c r="B129" s="157">
        <v>1900</v>
      </c>
      <c r="C129" s="157">
        <v>0</v>
      </c>
      <c r="D129" s="157">
        <v>0</v>
      </c>
      <c r="E129" s="158">
        <f>C129+D129:D129</f>
        <v>0</v>
      </c>
      <c r="F129" s="159">
        <f t="shared" si="14"/>
        <v>-1900</v>
      </c>
      <c r="G129" s="90"/>
      <c r="H129" s="74"/>
    </row>
    <row r="130" spans="1:8">
      <c r="A130" s="156" t="s">
        <v>122</v>
      </c>
      <c r="B130" s="157">
        <v>0</v>
      </c>
      <c r="C130" s="157">
        <v>65582.46</v>
      </c>
      <c r="D130" s="157">
        <f>65872.71*4</f>
        <v>263490.84</v>
      </c>
      <c r="E130" s="158">
        <f>C130+D130</f>
        <v>329073.3</v>
      </c>
      <c r="F130" s="159">
        <f t="shared" si="14"/>
        <v>329073.3</v>
      </c>
      <c r="G130" s="90"/>
      <c r="H130" s="74"/>
    </row>
    <row r="131" spans="1:8">
      <c r="A131" s="160" t="s">
        <v>123</v>
      </c>
      <c r="B131" s="161">
        <f>B132</f>
        <v>3000</v>
      </c>
      <c r="C131" s="161">
        <f>C132</f>
        <v>2055.34</v>
      </c>
      <c r="D131" s="161">
        <f>D132</f>
        <v>1468.1</v>
      </c>
      <c r="E131" s="162">
        <f>C131+D131:D131</f>
        <v>3523.44</v>
      </c>
      <c r="F131" s="163">
        <f t="shared" si="14"/>
        <v>523.44</v>
      </c>
      <c r="G131" s="90"/>
      <c r="H131" s="74"/>
    </row>
    <row r="132" spans="1:8">
      <c r="A132" s="164" t="s">
        <v>124</v>
      </c>
      <c r="B132" s="165">
        <v>3000</v>
      </c>
      <c r="C132" s="165">
        <v>2055.34</v>
      </c>
      <c r="D132" s="151">
        <f>(C132/7)*5</f>
        <v>1468.1</v>
      </c>
      <c r="E132" s="166">
        <f>C132+D132:D132</f>
        <v>3523.44</v>
      </c>
      <c r="F132" s="167">
        <f t="shared" si="14"/>
        <v>523.44</v>
      </c>
      <c r="G132" s="90"/>
      <c r="H132" s="74"/>
    </row>
    <row r="133" spans="1:8">
      <c r="A133" s="86"/>
      <c r="B133" s="112"/>
      <c r="C133" s="112"/>
      <c r="D133" s="87"/>
      <c r="E133" s="89"/>
      <c r="F133" s="52"/>
      <c r="G133" s="90"/>
      <c r="H133" s="74"/>
    </row>
    <row r="134" spans="1:8">
      <c r="A134" s="54" t="s">
        <v>125</v>
      </c>
      <c r="B134" s="168">
        <v>12200000</v>
      </c>
      <c r="C134" s="168">
        <v>6686555.07</v>
      </c>
      <c r="D134" s="168">
        <f>11449012-C134</f>
        <v>4762456.93</v>
      </c>
      <c r="E134" s="89">
        <f>C134+D134</f>
        <v>11449012</v>
      </c>
      <c r="F134" s="44">
        <f>E134-B134</f>
        <v>-750988</v>
      </c>
      <c r="G134" s="90"/>
      <c r="H134" s="74"/>
    </row>
    <row r="135" spans="1:8">
      <c r="A135" s="54"/>
      <c r="B135" s="168"/>
      <c r="C135" s="168"/>
      <c r="D135" s="168"/>
      <c r="E135" s="89"/>
      <c r="F135" s="44"/>
      <c r="G135" s="90"/>
      <c r="H135" s="74"/>
    </row>
    <row r="136" spans="1:8">
      <c r="A136" s="169" t="s">
        <v>126</v>
      </c>
      <c r="B136" s="170">
        <f>B137+B138+B139</f>
        <v>103700</v>
      </c>
      <c r="C136" s="170">
        <f>C137+C138+C139</f>
        <v>11619.73</v>
      </c>
      <c r="D136" s="170">
        <f>D137+D138+D139</f>
        <v>8999.80714285714</v>
      </c>
      <c r="E136" s="170">
        <f>E137+E138+E139</f>
        <v>20619.5371428571</v>
      </c>
      <c r="F136" s="170">
        <f>F137+F138+F139</f>
        <v>-83080.4628571429</v>
      </c>
      <c r="G136" s="90"/>
      <c r="H136" s="74"/>
    </row>
    <row r="137" spans="1:8">
      <c r="A137" s="156" t="s">
        <v>127</v>
      </c>
      <c r="B137" s="157">
        <v>100</v>
      </c>
      <c r="C137" s="157">
        <v>0</v>
      </c>
      <c r="D137" s="157">
        <v>100</v>
      </c>
      <c r="E137" s="158">
        <f>C137+D137:D137</f>
        <v>100</v>
      </c>
      <c r="F137" s="159">
        <f>E137-B137</f>
        <v>0</v>
      </c>
      <c r="G137" s="132"/>
      <c r="H137" s="74"/>
    </row>
    <row r="138" spans="1:8">
      <c r="A138" s="156" t="s">
        <v>128</v>
      </c>
      <c r="B138" s="157">
        <v>600</v>
      </c>
      <c r="C138" s="157">
        <v>0</v>
      </c>
      <c r="D138" s="157">
        <v>600</v>
      </c>
      <c r="E138" s="158">
        <f>C138+D138:D138</f>
        <v>600</v>
      </c>
      <c r="F138" s="159">
        <f>E138-B138</f>
        <v>0</v>
      </c>
      <c r="G138" s="90"/>
      <c r="H138" s="74"/>
    </row>
    <row r="139" spans="1:8">
      <c r="A139" s="156" t="s">
        <v>129</v>
      </c>
      <c r="B139" s="157">
        <v>103000</v>
      </c>
      <c r="C139" s="157">
        <v>11619.73</v>
      </c>
      <c r="D139" s="151">
        <f>(C139/7)*5</f>
        <v>8299.80714285714</v>
      </c>
      <c r="E139" s="158">
        <f>C139+D139:D139</f>
        <v>19919.5371428571</v>
      </c>
      <c r="F139" s="159">
        <f>E139-B139</f>
        <v>-83080.4628571429</v>
      </c>
      <c r="G139" s="90"/>
      <c r="H139" s="74"/>
    </row>
    <row r="140" spans="1:8">
      <c r="A140" s="86"/>
      <c r="B140" s="112"/>
      <c r="C140" s="112"/>
      <c r="D140" s="112"/>
      <c r="E140" s="89"/>
      <c r="F140" s="52"/>
      <c r="G140" s="90"/>
      <c r="H140" s="74"/>
    </row>
    <row r="141" spans="1:9">
      <c r="A141" s="83" t="s">
        <v>130</v>
      </c>
      <c r="B141" s="171">
        <f>B143+B157+B188</f>
        <v>134700</v>
      </c>
      <c r="C141" s="171">
        <f>C143+C157+C188</f>
        <v>191008.33</v>
      </c>
      <c r="D141" s="171">
        <f>D143+D157+D188</f>
        <v>136434.521428571</v>
      </c>
      <c r="E141" s="171">
        <f>E143+E157+E188</f>
        <v>327442.851428571</v>
      </c>
      <c r="F141" s="171">
        <f>F143+F157+F188</f>
        <v>192742.851428571</v>
      </c>
      <c r="G141" s="90"/>
      <c r="H141" s="74"/>
      <c r="I141" s="203"/>
    </row>
    <row r="142" spans="1:9">
      <c r="A142" s="172"/>
      <c r="B142" s="173"/>
      <c r="C142" s="173"/>
      <c r="D142" s="173"/>
      <c r="E142" s="173"/>
      <c r="F142" s="52"/>
      <c r="G142" s="141"/>
      <c r="H142" s="74"/>
      <c r="I142" s="203"/>
    </row>
    <row r="143" spans="1:9">
      <c r="A143" s="174" t="s">
        <v>131</v>
      </c>
      <c r="B143" s="175">
        <f>SUM(B144:B155)</f>
        <v>23000</v>
      </c>
      <c r="C143" s="175">
        <f>SUM(C144:C155)</f>
        <v>85439.42</v>
      </c>
      <c r="D143" s="175">
        <f>SUM(D144:D155)</f>
        <v>61028.1571428571</v>
      </c>
      <c r="E143" s="175">
        <f>SUM(E144:E155)</f>
        <v>146467.577142857</v>
      </c>
      <c r="F143" s="175">
        <f>SUM(F144:F155)</f>
        <v>123467.577142857</v>
      </c>
      <c r="G143" s="90"/>
      <c r="H143" s="74"/>
      <c r="I143" s="203"/>
    </row>
    <row r="144" spans="1:9">
      <c r="A144" s="176" t="s">
        <v>132</v>
      </c>
      <c r="B144" s="177">
        <v>1200</v>
      </c>
      <c r="C144" s="177">
        <v>1912.24</v>
      </c>
      <c r="D144" s="178">
        <f t="shared" ref="D144:D155" si="15">(C144/7)*5</f>
        <v>1365.88571428571</v>
      </c>
      <c r="E144" s="179">
        <f>C144+D144:D144</f>
        <v>3278.12571428571</v>
      </c>
      <c r="F144" s="180">
        <f t="shared" ref="F144:F155" si="16">E144-B144</f>
        <v>2078.12571428571</v>
      </c>
      <c r="G144" s="141"/>
      <c r="H144" s="74"/>
      <c r="I144" s="203"/>
    </row>
    <row r="145" spans="1:9">
      <c r="A145" s="176" t="s">
        <v>133</v>
      </c>
      <c r="B145" s="177">
        <v>50</v>
      </c>
      <c r="C145" s="177">
        <v>0</v>
      </c>
      <c r="D145" s="178">
        <f t="shared" si="15"/>
        <v>0</v>
      </c>
      <c r="E145" s="179">
        <f>C145+D145:D145</f>
        <v>0</v>
      </c>
      <c r="F145" s="180">
        <f t="shared" si="16"/>
        <v>-50</v>
      </c>
      <c r="I145" s="203"/>
    </row>
    <row r="146" spans="1:6">
      <c r="A146" s="176" t="s">
        <v>134</v>
      </c>
      <c r="B146" s="181">
        <v>1200</v>
      </c>
      <c r="C146" s="181">
        <v>7012.46</v>
      </c>
      <c r="D146" s="178">
        <f t="shared" si="15"/>
        <v>5008.9</v>
      </c>
      <c r="E146" s="177">
        <f t="shared" ref="E146:E155" si="17">C146+D146</f>
        <v>12021.36</v>
      </c>
      <c r="F146" s="180">
        <f t="shared" si="16"/>
        <v>10821.36</v>
      </c>
    </row>
    <row r="147" spans="1:6">
      <c r="A147" s="176" t="s">
        <v>135</v>
      </c>
      <c r="B147" s="181">
        <v>550</v>
      </c>
      <c r="C147" s="181">
        <v>1554.63</v>
      </c>
      <c r="D147" s="178">
        <f t="shared" si="15"/>
        <v>1110.45</v>
      </c>
      <c r="E147" s="177">
        <f t="shared" si="17"/>
        <v>2665.08</v>
      </c>
      <c r="F147" s="180">
        <f t="shared" si="16"/>
        <v>2115.08</v>
      </c>
    </row>
    <row r="148" spans="1:6">
      <c r="A148" s="176" t="s">
        <v>136</v>
      </c>
      <c r="B148" s="182">
        <v>16500</v>
      </c>
      <c r="C148" s="182">
        <v>35000</v>
      </c>
      <c r="D148" s="178">
        <f t="shared" si="15"/>
        <v>25000</v>
      </c>
      <c r="E148" s="177">
        <f t="shared" si="17"/>
        <v>60000</v>
      </c>
      <c r="F148" s="180">
        <f t="shared" si="16"/>
        <v>43500</v>
      </c>
    </row>
    <row r="149" spans="1:6">
      <c r="A149" s="176" t="s">
        <v>137</v>
      </c>
      <c r="B149" s="182">
        <v>500</v>
      </c>
      <c r="C149" s="182">
        <v>0</v>
      </c>
      <c r="D149" s="178">
        <f t="shared" si="15"/>
        <v>0</v>
      </c>
      <c r="E149" s="177">
        <f t="shared" si="17"/>
        <v>0</v>
      </c>
      <c r="F149" s="180">
        <f t="shared" si="16"/>
        <v>-500</v>
      </c>
    </row>
    <row r="150" spans="1:6">
      <c r="A150" s="176" t="s">
        <v>138</v>
      </c>
      <c r="B150" s="182">
        <v>500</v>
      </c>
      <c r="C150" s="182">
        <v>24915.96</v>
      </c>
      <c r="D150" s="178">
        <f t="shared" si="15"/>
        <v>17797.1142857143</v>
      </c>
      <c r="E150" s="177">
        <f t="shared" si="17"/>
        <v>42713.0742857143</v>
      </c>
      <c r="F150" s="180">
        <f t="shared" si="16"/>
        <v>42213.0742857143</v>
      </c>
    </row>
    <row r="151" spans="1:6">
      <c r="A151" s="176" t="s">
        <v>139</v>
      </c>
      <c r="B151" s="182">
        <v>500</v>
      </c>
      <c r="C151" s="182">
        <v>14953.13</v>
      </c>
      <c r="D151" s="178">
        <f t="shared" si="15"/>
        <v>10680.8071428571</v>
      </c>
      <c r="E151" s="177">
        <f t="shared" si="17"/>
        <v>25633.9371428571</v>
      </c>
      <c r="F151" s="180">
        <f t="shared" si="16"/>
        <v>25133.9371428571</v>
      </c>
    </row>
    <row r="152" spans="1:6">
      <c r="A152" s="176" t="s">
        <v>140</v>
      </c>
      <c r="B152" s="182">
        <v>1700</v>
      </c>
      <c r="C152" s="182">
        <v>89.22</v>
      </c>
      <c r="D152" s="178">
        <f t="shared" si="15"/>
        <v>63.7285714285714</v>
      </c>
      <c r="E152" s="177">
        <f t="shared" si="17"/>
        <v>152.948571428571</v>
      </c>
      <c r="F152" s="180">
        <f t="shared" si="16"/>
        <v>-1547.05142857143</v>
      </c>
    </row>
    <row r="153" spans="1:6">
      <c r="A153" s="176" t="s">
        <v>141</v>
      </c>
      <c r="B153" s="182">
        <v>100</v>
      </c>
      <c r="C153" s="182">
        <v>1.78</v>
      </c>
      <c r="D153" s="178">
        <f t="shared" si="15"/>
        <v>1.27142857142857</v>
      </c>
      <c r="E153" s="177">
        <f t="shared" si="17"/>
        <v>3.05142857142857</v>
      </c>
      <c r="F153" s="180">
        <f t="shared" si="16"/>
        <v>-96.9485714285714</v>
      </c>
    </row>
    <row r="154" spans="1:6">
      <c r="A154" s="176" t="s">
        <v>142</v>
      </c>
      <c r="B154" s="182">
        <v>100</v>
      </c>
      <c r="C154" s="182">
        <v>0</v>
      </c>
      <c r="D154" s="178">
        <f t="shared" si="15"/>
        <v>0</v>
      </c>
      <c r="E154" s="177">
        <f t="shared" si="17"/>
        <v>0</v>
      </c>
      <c r="F154" s="180">
        <f t="shared" si="16"/>
        <v>-100</v>
      </c>
    </row>
    <row r="155" spans="1:6">
      <c r="A155" s="176" t="s">
        <v>143</v>
      </c>
      <c r="B155" s="182">
        <v>100</v>
      </c>
      <c r="C155" s="182">
        <v>0</v>
      </c>
      <c r="D155" s="178">
        <f t="shared" si="15"/>
        <v>0</v>
      </c>
      <c r="E155" s="177">
        <f t="shared" si="17"/>
        <v>0</v>
      </c>
      <c r="F155" s="180">
        <f t="shared" si="16"/>
        <v>-100</v>
      </c>
    </row>
    <row r="156" spans="1:6">
      <c r="A156" s="54"/>
      <c r="B156" s="183"/>
      <c r="C156" s="183"/>
      <c r="D156" s="168"/>
      <c r="E156" s="173"/>
      <c r="F156" s="44"/>
    </row>
    <row r="157" spans="1:6">
      <c r="A157" s="184" t="s">
        <v>144</v>
      </c>
      <c r="B157" s="185">
        <f>B159+B166</f>
        <v>48300</v>
      </c>
      <c r="C157" s="185">
        <f>C159+C166</f>
        <v>59244.01</v>
      </c>
      <c r="D157" s="185">
        <f>D159+D166</f>
        <v>42317.15</v>
      </c>
      <c r="E157" s="185">
        <f>E159+E166</f>
        <v>101561.16</v>
      </c>
      <c r="F157" s="180">
        <f>E157-B157</f>
        <v>53261.16</v>
      </c>
    </row>
    <row r="158" spans="1:6">
      <c r="A158" s="54"/>
      <c r="B158" s="183"/>
      <c r="C158" s="183"/>
      <c r="D158" s="168"/>
      <c r="E158" s="173"/>
      <c r="F158" s="44"/>
    </row>
    <row r="159" spans="1:6">
      <c r="A159" s="186" t="s">
        <v>145</v>
      </c>
      <c r="B159" s="187">
        <f>SUM(B160:B164)</f>
        <v>12500</v>
      </c>
      <c r="C159" s="187">
        <f>SUM(C160:C164)</f>
        <v>3452.75</v>
      </c>
      <c r="D159" s="187">
        <f>SUM(D160:D164)</f>
        <v>2466.25</v>
      </c>
      <c r="E159" s="187">
        <f>SUM(E160:E164)</f>
        <v>5919</v>
      </c>
      <c r="F159" s="187">
        <f>SUM(F160:F164)</f>
        <v>-6581</v>
      </c>
    </row>
    <row r="160" spans="1:6">
      <c r="A160" s="164" t="s">
        <v>146</v>
      </c>
      <c r="B160" s="188">
        <v>500</v>
      </c>
      <c r="C160" s="188">
        <v>104.21</v>
      </c>
      <c r="D160" s="178">
        <f t="shared" ref="D160:D164" si="18">(C160/7)*5</f>
        <v>74.4357142857143</v>
      </c>
      <c r="E160" s="189">
        <f>C160+D160</f>
        <v>178.645714285714</v>
      </c>
      <c r="F160" s="167">
        <f>E160-B160</f>
        <v>-321.354285714286</v>
      </c>
    </row>
    <row r="161" spans="1:6">
      <c r="A161" s="164" t="s">
        <v>147</v>
      </c>
      <c r="B161" s="188">
        <v>11700</v>
      </c>
      <c r="C161" s="188">
        <v>3314.37</v>
      </c>
      <c r="D161" s="178">
        <f t="shared" si="18"/>
        <v>2367.40714285714</v>
      </c>
      <c r="E161" s="189">
        <f>C161+D161</f>
        <v>5681.77714285714</v>
      </c>
      <c r="F161" s="167">
        <f>E161-B161</f>
        <v>-6018.22285714286</v>
      </c>
    </row>
    <row r="162" spans="1:6">
      <c r="A162" s="164" t="s">
        <v>148</v>
      </c>
      <c r="B162" s="188">
        <v>100</v>
      </c>
      <c r="C162" s="188">
        <v>34.17</v>
      </c>
      <c r="D162" s="178">
        <f t="shared" si="18"/>
        <v>24.4071428571429</v>
      </c>
      <c r="E162" s="189">
        <f>C162+D162</f>
        <v>58.5771428571429</v>
      </c>
      <c r="F162" s="167">
        <f>E162-B162</f>
        <v>-41.4228571428571</v>
      </c>
    </row>
    <row r="163" spans="1:6">
      <c r="A163" s="164" t="s">
        <v>149</v>
      </c>
      <c r="B163" s="188">
        <v>100</v>
      </c>
      <c r="C163" s="188">
        <v>0</v>
      </c>
      <c r="D163" s="178">
        <f t="shared" si="18"/>
        <v>0</v>
      </c>
      <c r="E163" s="189">
        <f>C163+D163</f>
        <v>0</v>
      </c>
      <c r="F163" s="167">
        <f>E163-B163</f>
        <v>-100</v>
      </c>
    </row>
    <row r="164" spans="1:6">
      <c r="A164" s="164" t="s">
        <v>150</v>
      </c>
      <c r="B164" s="188">
        <v>100</v>
      </c>
      <c r="C164" s="188">
        <v>0</v>
      </c>
      <c r="D164" s="178">
        <f t="shared" si="18"/>
        <v>0</v>
      </c>
      <c r="E164" s="189">
        <f>C164+D164</f>
        <v>0</v>
      </c>
      <c r="F164" s="167">
        <f>E164-B164</f>
        <v>-100</v>
      </c>
    </row>
    <row r="165" spans="1:6">
      <c r="A165" s="54"/>
      <c r="B165" s="183"/>
      <c r="C165" s="183"/>
      <c r="D165" s="168"/>
      <c r="E165" s="173"/>
      <c r="F165" s="44"/>
    </row>
    <row r="166" spans="1:7">
      <c r="A166" s="190" t="s">
        <v>151</v>
      </c>
      <c r="B166" s="191">
        <f>B167+B172+B176+B182</f>
        <v>35800</v>
      </c>
      <c r="C166" s="191">
        <f>C167+C172+C176+C182</f>
        <v>55791.26</v>
      </c>
      <c r="D166" s="191">
        <f>D167+D172+D176+D182</f>
        <v>39850.9</v>
      </c>
      <c r="E166" s="191">
        <f>E167+E172+E176+E182</f>
        <v>95642.16</v>
      </c>
      <c r="F166" s="187">
        <f>SUM(F167:F171)</f>
        <v>-21000</v>
      </c>
      <c r="G166" s="74"/>
    </row>
    <row r="167" spans="1:7">
      <c r="A167" s="192" t="s">
        <v>152</v>
      </c>
      <c r="B167" s="193">
        <f>B168+B169+B170+B171</f>
        <v>10500</v>
      </c>
      <c r="C167" s="193">
        <f>C168+C169+C170+C171</f>
        <v>0</v>
      </c>
      <c r="D167" s="193">
        <f>D168+D169</f>
        <v>0</v>
      </c>
      <c r="E167" s="194">
        <f t="shared" ref="E167:E170" si="19">C167+D167</f>
        <v>0</v>
      </c>
      <c r="F167" s="195">
        <f t="shared" ref="F167:F174" si="20">E167-B167</f>
        <v>-10500</v>
      </c>
      <c r="G167" s="90"/>
    </row>
    <row r="168" spans="1:7">
      <c r="A168" s="86" t="s">
        <v>153</v>
      </c>
      <c r="B168" s="196">
        <v>10000</v>
      </c>
      <c r="C168" s="196">
        <v>0</v>
      </c>
      <c r="D168" s="178">
        <f t="shared" ref="D168:D170" si="21">(C168/7)*5</f>
        <v>0</v>
      </c>
      <c r="E168" s="173">
        <f t="shared" si="19"/>
        <v>0</v>
      </c>
      <c r="F168" s="52">
        <f t="shared" si="20"/>
        <v>-10000</v>
      </c>
      <c r="G168" s="90"/>
    </row>
    <row r="169" spans="1:8">
      <c r="A169" s="86" t="s">
        <v>154</v>
      </c>
      <c r="B169" s="196">
        <v>0</v>
      </c>
      <c r="C169" s="196">
        <v>0</v>
      </c>
      <c r="D169" s="178">
        <f t="shared" si="21"/>
        <v>0</v>
      </c>
      <c r="E169" s="173">
        <f t="shared" si="19"/>
        <v>0</v>
      </c>
      <c r="F169" s="52">
        <f t="shared" si="20"/>
        <v>0</v>
      </c>
      <c r="G169" s="90"/>
      <c r="H169" s="74"/>
    </row>
    <row r="170" spans="1:8">
      <c r="A170" s="54" t="s">
        <v>155</v>
      </c>
      <c r="B170" s="183">
        <v>0</v>
      </c>
      <c r="C170" s="183">
        <v>0</v>
      </c>
      <c r="D170" s="178">
        <f>B170-C170</f>
        <v>0</v>
      </c>
      <c r="E170" s="173">
        <f>D170+C170</f>
        <v>0</v>
      </c>
      <c r="F170" s="52">
        <f t="shared" si="20"/>
        <v>0</v>
      </c>
      <c r="G170" s="90"/>
      <c r="H170" s="74"/>
    </row>
    <row r="171" spans="1:8">
      <c r="A171" s="54" t="s">
        <v>156</v>
      </c>
      <c r="B171" s="183">
        <v>500</v>
      </c>
      <c r="C171" s="183">
        <v>0</v>
      </c>
      <c r="D171" s="178">
        <v>0</v>
      </c>
      <c r="E171" s="173">
        <f>D171+C171</f>
        <v>0</v>
      </c>
      <c r="F171" s="52">
        <f t="shared" si="20"/>
        <v>-500</v>
      </c>
      <c r="G171" s="90"/>
      <c r="H171" s="74"/>
    </row>
    <row r="172" spans="1:8">
      <c r="A172" s="192" t="s">
        <v>157</v>
      </c>
      <c r="B172" s="193">
        <f>B173+B174</f>
        <v>3050</v>
      </c>
      <c r="C172" s="193">
        <f>C173+C174</f>
        <v>0</v>
      </c>
      <c r="D172" s="193">
        <f>D173+D174</f>
        <v>0</v>
      </c>
      <c r="E172" s="193">
        <f>E173+E174</f>
        <v>0</v>
      </c>
      <c r="F172" s="195">
        <f t="shared" si="20"/>
        <v>-3050</v>
      </c>
      <c r="G172" s="90"/>
      <c r="H172" s="74"/>
    </row>
    <row r="173" spans="1:8">
      <c r="A173" s="86" t="s">
        <v>158</v>
      </c>
      <c r="B173" s="196">
        <v>50</v>
      </c>
      <c r="C173" s="196">
        <v>0</v>
      </c>
      <c r="D173" s="112">
        <v>0</v>
      </c>
      <c r="E173" s="173">
        <f>C173+D173</f>
        <v>0</v>
      </c>
      <c r="F173" s="52">
        <f t="shared" si="20"/>
        <v>-50</v>
      </c>
      <c r="G173" s="90"/>
      <c r="H173" s="74"/>
    </row>
    <row r="174" spans="1:8">
      <c r="A174" s="86" t="s">
        <v>159</v>
      </c>
      <c r="B174" s="196">
        <v>3000</v>
      </c>
      <c r="C174" s="196">
        <v>0</v>
      </c>
      <c r="D174" s="112">
        <f t="shared" ref="D174:D180" si="22">(C174/7)*5</f>
        <v>0</v>
      </c>
      <c r="E174" s="173">
        <f>C174+D174</f>
        <v>0</v>
      </c>
      <c r="F174" s="52">
        <f t="shared" si="20"/>
        <v>-3000</v>
      </c>
      <c r="G174" s="90"/>
      <c r="H174" s="74"/>
    </row>
    <row r="175" spans="1:8">
      <c r="A175" s="86"/>
      <c r="B175" s="196"/>
      <c r="C175" s="196"/>
      <c r="D175" s="112"/>
      <c r="E175" s="173"/>
      <c r="F175" s="52"/>
      <c r="G175" s="90"/>
      <c r="H175" s="74"/>
    </row>
    <row r="176" spans="1:8">
      <c r="A176" s="192" t="s">
        <v>160</v>
      </c>
      <c r="B176" s="193">
        <f>B177+B178+B179+B180</f>
        <v>11200</v>
      </c>
      <c r="C176" s="193">
        <f>C177+C178+C179+C180</f>
        <v>42651.15</v>
      </c>
      <c r="D176" s="193">
        <f>D177+D178+D179+D180</f>
        <v>30465.1071428571</v>
      </c>
      <c r="E176" s="197">
        <f>E177+E178+E179+E180</f>
        <v>73116.2571428572</v>
      </c>
      <c r="F176" s="195">
        <f>E176-B176</f>
        <v>61916.2571428572</v>
      </c>
      <c r="G176" s="90"/>
      <c r="H176" s="74"/>
    </row>
    <row r="177" spans="1:8">
      <c r="A177" s="86" t="s">
        <v>161</v>
      </c>
      <c r="B177" s="196">
        <v>5000</v>
      </c>
      <c r="C177" s="196">
        <v>3299.9</v>
      </c>
      <c r="D177" s="178">
        <f t="shared" si="22"/>
        <v>2357.07142857143</v>
      </c>
      <c r="E177" s="173">
        <f>C177+D177</f>
        <v>5656.97142857143</v>
      </c>
      <c r="F177" s="52">
        <f>E177-B177</f>
        <v>656.971428571429</v>
      </c>
      <c r="G177" s="90"/>
      <c r="H177" s="74"/>
    </row>
    <row r="178" spans="1:8">
      <c r="A178" s="86" t="s">
        <v>162</v>
      </c>
      <c r="B178" s="196">
        <v>200</v>
      </c>
      <c r="C178" s="196">
        <v>135.62</v>
      </c>
      <c r="D178" s="178">
        <f t="shared" si="22"/>
        <v>96.8714285714286</v>
      </c>
      <c r="E178" s="173">
        <f>C178+D178</f>
        <v>232.491428571429</v>
      </c>
      <c r="F178" s="52">
        <f>E178-B178</f>
        <v>32.4914285714286</v>
      </c>
      <c r="G178" s="90"/>
      <c r="H178" s="74"/>
    </row>
    <row r="179" spans="1:8">
      <c r="A179" s="86" t="s">
        <v>163</v>
      </c>
      <c r="B179" s="196">
        <v>3000</v>
      </c>
      <c r="C179" s="196">
        <v>33187.73</v>
      </c>
      <c r="D179" s="178">
        <f t="shared" si="22"/>
        <v>23705.5214285714</v>
      </c>
      <c r="E179" s="173">
        <f>C179+D179</f>
        <v>56893.2514285714</v>
      </c>
      <c r="F179" s="52">
        <f>E179-B179</f>
        <v>53893.2514285714</v>
      </c>
      <c r="G179" s="90"/>
      <c r="H179" s="74"/>
    </row>
    <row r="180" spans="1:8">
      <c r="A180" s="86" t="s">
        <v>164</v>
      </c>
      <c r="B180" s="196">
        <v>3000</v>
      </c>
      <c r="C180" s="196">
        <v>6027.9</v>
      </c>
      <c r="D180" s="178">
        <f t="shared" si="22"/>
        <v>4305.64285714286</v>
      </c>
      <c r="E180" s="173">
        <f>C180+D180</f>
        <v>10333.5428571429</v>
      </c>
      <c r="F180" s="52">
        <f>E180-B180</f>
        <v>7333.54285714286</v>
      </c>
      <c r="G180" s="90"/>
      <c r="H180" s="74"/>
    </row>
    <row r="181" spans="1:8">
      <c r="A181" s="86"/>
      <c r="B181" s="196"/>
      <c r="C181" s="196"/>
      <c r="D181" s="112"/>
      <c r="E181" s="173"/>
      <c r="F181" s="52"/>
      <c r="G181" s="90"/>
      <c r="H181" s="74"/>
    </row>
    <row r="182" spans="1:8">
      <c r="A182" s="192" t="s">
        <v>165</v>
      </c>
      <c r="B182" s="193">
        <f>B183+B184+B185+B186</f>
        <v>11050</v>
      </c>
      <c r="C182" s="193">
        <f>C183+C184+C185+C186</f>
        <v>13140.11</v>
      </c>
      <c r="D182" s="193">
        <f>D183+D184+D185+D186</f>
        <v>9385.79285714286</v>
      </c>
      <c r="E182" s="194">
        <f>C182+D182</f>
        <v>22525.9028571429</v>
      </c>
      <c r="F182" s="195">
        <f>E182-B182</f>
        <v>11475.9028571429</v>
      </c>
      <c r="G182" s="90"/>
      <c r="H182" s="74"/>
    </row>
    <row r="183" spans="1:8">
      <c r="A183" s="86" t="s">
        <v>166</v>
      </c>
      <c r="B183" s="196">
        <v>500</v>
      </c>
      <c r="C183" s="196">
        <v>1789.45</v>
      </c>
      <c r="D183" s="178">
        <f t="shared" ref="D183:D186" si="23">(C183/7)*5</f>
        <v>1278.17857142857</v>
      </c>
      <c r="E183" s="173">
        <f>C183+D183</f>
        <v>3067.62857142857</v>
      </c>
      <c r="F183" s="52">
        <f>E183-B183</f>
        <v>2567.62857142857</v>
      </c>
      <c r="G183" s="90"/>
      <c r="H183" s="74"/>
    </row>
    <row r="184" spans="1:8">
      <c r="A184" s="86" t="s">
        <v>167</v>
      </c>
      <c r="B184" s="196">
        <v>50</v>
      </c>
      <c r="C184" s="196">
        <v>8.62</v>
      </c>
      <c r="D184" s="178">
        <f t="shared" si="23"/>
        <v>6.15714285714286</v>
      </c>
      <c r="E184" s="173">
        <f>C184+D184</f>
        <v>14.7771428571429</v>
      </c>
      <c r="F184" s="52">
        <f>E184-B184</f>
        <v>-35.2228571428571</v>
      </c>
      <c r="G184" s="90"/>
      <c r="H184" s="74"/>
    </row>
    <row r="185" spans="1:8">
      <c r="A185" s="86" t="s">
        <v>168</v>
      </c>
      <c r="B185" s="196">
        <v>8000</v>
      </c>
      <c r="C185" s="196">
        <v>7534.05</v>
      </c>
      <c r="D185" s="178">
        <f t="shared" si="23"/>
        <v>5381.46428571429</v>
      </c>
      <c r="E185" s="173">
        <f>C185+D185</f>
        <v>12915.5142857143</v>
      </c>
      <c r="F185" s="52">
        <f>E185-B185</f>
        <v>4915.51428571429</v>
      </c>
      <c r="G185" s="198"/>
      <c r="H185" s="74"/>
    </row>
    <row r="186" spans="1:8">
      <c r="A186" s="86" t="s">
        <v>169</v>
      </c>
      <c r="B186" s="196">
        <v>2500</v>
      </c>
      <c r="C186" s="196">
        <v>3807.99</v>
      </c>
      <c r="D186" s="178">
        <f t="shared" si="23"/>
        <v>2719.99285714286</v>
      </c>
      <c r="E186" s="173">
        <f>C186+D186</f>
        <v>6527.98285714286</v>
      </c>
      <c r="F186" s="52">
        <f>E186-B186</f>
        <v>4027.98285714286</v>
      </c>
      <c r="G186" s="90"/>
      <c r="H186" s="74"/>
    </row>
    <row r="187" spans="1:8">
      <c r="A187" s="86"/>
      <c r="B187" s="196"/>
      <c r="C187" s="196"/>
      <c r="D187" s="112"/>
      <c r="E187" s="173"/>
      <c r="F187" s="52"/>
      <c r="G187" s="90"/>
      <c r="H187" s="74"/>
    </row>
    <row r="188" spans="1:8">
      <c r="A188" s="199" t="s">
        <v>170</v>
      </c>
      <c r="B188" s="200">
        <f>SUM(B189:B195)</f>
        <v>63400</v>
      </c>
      <c r="C188" s="200">
        <f>SUM(C189:C195)</f>
        <v>46324.9</v>
      </c>
      <c r="D188" s="200">
        <f>SUM(D189:D195)</f>
        <v>33089.2142857143</v>
      </c>
      <c r="E188" s="200">
        <f>SUM(E189:E195)</f>
        <v>79414.1142857143</v>
      </c>
      <c r="F188" s="201">
        <f t="shared" ref="F188:F195" si="24">E188-B188</f>
        <v>16014.1142857143</v>
      </c>
      <c r="G188" s="90"/>
      <c r="H188" s="74"/>
    </row>
    <row r="189" spans="1:8">
      <c r="A189" s="54" t="s">
        <v>171</v>
      </c>
      <c r="B189" s="183">
        <v>10000</v>
      </c>
      <c r="C189" s="183">
        <v>8514.49</v>
      </c>
      <c r="D189" s="178">
        <f t="shared" ref="D189:D195" si="25">(C189/7)*5</f>
        <v>6081.77857142857</v>
      </c>
      <c r="E189" s="202">
        <f t="shared" ref="E189:E195" si="26">C189+D189</f>
        <v>14596.2685714286</v>
      </c>
      <c r="F189" s="44">
        <f t="shared" si="24"/>
        <v>4596.26857142857</v>
      </c>
      <c r="G189" s="90"/>
      <c r="H189" s="74"/>
    </row>
    <row r="190" spans="1:8">
      <c r="A190" s="54" t="s">
        <v>172</v>
      </c>
      <c r="B190" s="183">
        <v>46900</v>
      </c>
      <c r="C190" s="183">
        <v>36206.32</v>
      </c>
      <c r="D190" s="178">
        <f t="shared" si="25"/>
        <v>25861.6571428571</v>
      </c>
      <c r="E190" s="173">
        <f t="shared" si="26"/>
        <v>62067.9771428571</v>
      </c>
      <c r="F190" s="44">
        <f t="shared" si="24"/>
        <v>15167.9771428571</v>
      </c>
      <c r="G190" s="90"/>
      <c r="H190" s="74"/>
    </row>
    <row r="191" spans="1:8">
      <c r="A191" s="54" t="s">
        <v>173</v>
      </c>
      <c r="B191" s="183">
        <v>500</v>
      </c>
      <c r="C191" s="183">
        <v>5.78</v>
      </c>
      <c r="D191" s="178">
        <f t="shared" si="25"/>
        <v>4.12857142857143</v>
      </c>
      <c r="E191" s="173">
        <f t="shared" si="26"/>
        <v>9.90857142857143</v>
      </c>
      <c r="F191" s="44">
        <f t="shared" si="24"/>
        <v>-490.091428571429</v>
      </c>
      <c r="G191" s="90"/>
      <c r="H191" s="74"/>
    </row>
    <row r="192" spans="1:7">
      <c r="A192" s="54" t="s">
        <v>174</v>
      </c>
      <c r="B192" s="183">
        <v>2000</v>
      </c>
      <c r="C192" s="183">
        <v>669.6</v>
      </c>
      <c r="D192" s="178">
        <f t="shared" si="25"/>
        <v>478.285714285714</v>
      </c>
      <c r="E192" s="173">
        <f t="shared" si="26"/>
        <v>1147.88571428571</v>
      </c>
      <c r="F192" s="44">
        <f t="shared" si="24"/>
        <v>-852.114285714286</v>
      </c>
      <c r="G192" s="68"/>
    </row>
    <row r="193" spans="1:7">
      <c r="A193" s="54" t="s">
        <v>175</v>
      </c>
      <c r="B193" s="183">
        <v>500</v>
      </c>
      <c r="C193" s="183">
        <v>216.4</v>
      </c>
      <c r="D193" s="178">
        <f t="shared" si="25"/>
        <v>154.571428571429</v>
      </c>
      <c r="E193" s="173">
        <f t="shared" si="26"/>
        <v>370.971428571429</v>
      </c>
      <c r="F193" s="44">
        <f t="shared" si="24"/>
        <v>-129.028571428571</v>
      </c>
      <c r="G193" s="68"/>
    </row>
    <row r="194" spans="1:7">
      <c r="A194" s="54" t="s">
        <v>176</v>
      </c>
      <c r="B194" s="183">
        <v>3500</v>
      </c>
      <c r="C194" s="183">
        <v>711.23</v>
      </c>
      <c r="D194" s="178">
        <f t="shared" si="25"/>
        <v>508.021428571429</v>
      </c>
      <c r="E194" s="173">
        <f t="shared" si="26"/>
        <v>1219.25142857143</v>
      </c>
      <c r="F194" s="44">
        <f t="shared" si="24"/>
        <v>-2280.74857142857</v>
      </c>
      <c r="G194" s="68"/>
    </row>
    <row r="195" spans="1:7">
      <c r="A195" s="54" t="s">
        <v>177</v>
      </c>
      <c r="B195" s="183">
        <v>0</v>
      </c>
      <c r="C195" s="183">
        <v>1.08</v>
      </c>
      <c r="D195" s="178">
        <f t="shared" si="25"/>
        <v>0.771428571428572</v>
      </c>
      <c r="E195" s="173">
        <f t="shared" si="26"/>
        <v>1.85142857142857</v>
      </c>
      <c r="F195" s="44">
        <f t="shared" si="24"/>
        <v>1.85142857142857</v>
      </c>
      <c r="G195" s="68"/>
    </row>
    <row r="196" spans="1:8">
      <c r="A196" s="204"/>
      <c r="B196" s="205"/>
      <c r="C196" s="205"/>
      <c r="D196" s="206"/>
      <c r="E196" s="207"/>
      <c r="F196" s="208"/>
      <c r="G196" s="90"/>
      <c r="H196" s="74"/>
    </row>
    <row r="197" spans="1:9">
      <c r="A197" s="83" t="s">
        <v>178</v>
      </c>
      <c r="B197" s="209">
        <f>B198+B199</f>
        <v>9500000</v>
      </c>
      <c r="C197" s="209">
        <f>C198+C199</f>
        <v>5458158.93</v>
      </c>
      <c r="D197" s="209">
        <f>D198+D199</f>
        <v>4736668.98</v>
      </c>
      <c r="E197" s="209">
        <f>E198+E199</f>
        <v>10194827.91</v>
      </c>
      <c r="F197" s="210">
        <f>F198+F199</f>
        <v>694827.91</v>
      </c>
      <c r="G197" s="90"/>
      <c r="H197" s="74"/>
      <c r="I197" s="203"/>
    </row>
    <row r="198" spans="1:8">
      <c r="A198" s="54" t="s">
        <v>179</v>
      </c>
      <c r="B198" s="183">
        <v>2900000</v>
      </c>
      <c r="C198" s="183">
        <v>1392570.18</v>
      </c>
      <c r="D198" s="44">
        <f>201415.41*6</f>
        <v>1208492.46</v>
      </c>
      <c r="E198" s="211">
        <f>C198+D198</f>
        <v>2601062.64</v>
      </c>
      <c r="F198" s="44">
        <f>E198-B198</f>
        <v>-298937.36</v>
      </c>
      <c r="G198" s="212"/>
      <c r="H198" s="74"/>
    </row>
    <row r="199" spans="1:8">
      <c r="A199" s="54" t="s">
        <v>180</v>
      </c>
      <c r="B199" s="183">
        <v>6600000</v>
      </c>
      <c r="C199" s="183">
        <v>4065588.75</v>
      </c>
      <c r="D199" s="44">
        <f>588029.42*6</f>
        <v>3528176.52</v>
      </c>
      <c r="E199" s="211">
        <f>C199+D199</f>
        <v>7593765.27</v>
      </c>
      <c r="F199" s="44">
        <f>E199-B199</f>
        <v>993765.27</v>
      </c>
      <c r="G199" s="90"/>
      <c r="H199" s="74"/>
    </row>
    <row r="200" spans="1:8">
      <c r="A200" s="54"/>
      <c r="B200" s="54"/>
      <c r="C200" s="54"/>
      <c r="D200" s="54"/>
      <c r="E200" s="172"/>
      <c r="F200" s="44"/>
      <c r="G200" s="90"/>
      <c r="H200" s="74"/>
    </row>
    <row r="201" spans="1:9">
      <c r="A201" s="83" t="s">
        <v>181</v>
      </c>
      <c r="B201" s="209">
        <f>B203+B207+B213+B224</f>
        <v>4904464.7</v>
      </c>
      <c r="C201" s="209">
        <f>C203+C207+C213+C224</f>
        <v>613201.64</v>
      </c>
      <c r="D201" s="209">
        <f>D203+D207+D213+D224</f>
        <v>2149179.93857143</v>
      </c>
      <c r="E201" s="209">
        <f>E203+E207+E213+E224</f>
        <v>2762381.57857143</v>
      </c>
      <c r="F201" s="209">
        <f>F203+F207+F213+F224</f>
        <v>-2142083.12142857</v>
      </c>
      <c r="G201" s="90"/>
      <c r="H201" s="74"/>
      <c r="I201" s="203"/>
    </row>
    <row r="202" spans="1:9">
      <c r="A202" s="172"/>
      <c r="B202" s="213"/>
      <c r="C202" s="213"/>
      <c r="D202" s="213"/>
      <c r="E202" s="213"/>
      <c r="F202" s="49"/>
      <c r="G202" s="214"/>
      <c r="H202" s="74"/>
      <c r="I202" s="203"/>
    </row>
    <row r="203" spans="1:8">
      <c r="A203" s="83" t="s">
        <v>182</v>
      </c>
      <c r="B203" s="209">
        <f>B204+B205</f>
        <v>1120000</v>
      </c>
      <c r="C203" s="209">
        <f>C204+C205</f>
        <v>44450</v>
      </c>
      <c r="D203" s="209">
        <f>D204+D205</f>
        <v>31750</v>
      </c>
      <c r="E203" s="209">
        <f>E204+E205</f>
        <v>76200</v>
      </c>
      <c r="F203" s="209">
        <f>F204+F205</f>
        <v>-1043800</v>
      </c>
      <c r="G203" s="212"/>
      <c r="H203" s="74"/>
    </row>
    <row r="204" spans="1:8">
      <c r="A204" s="54" t="s">
        <v>183</v>
      </c>
      <c r="B204" s="183">
        <v>0</v>
      </c>
      <c r="C204" s="183">
        <v>0</v>
      </c>
      <c r="D204" s="112">
        <v>0</v>
      </c>
      <c r="E204" s="213">
        <f>C204+D204</f>
        <v>0</v>
      </c>
      <c r="F204" s="44">
        <f>E204-B204</f>
        <v>0</v>
      </c>
      <c r="G204" s="214"/>
      <c r="H204" s="74"/>
    </row>
    <row r="205" spans="1:8">
      <c r="A205" s="54" t="s">
        <v>184</v>
      </c>
      <c r="B205" s="183">
        <v>1120000</v>
      </c>
      <c r="C205" s="183">
        <v>44450</v>
      </c>
      <c r="D205" s="178">
        <f>(C205/7)*5</f>
        <v>31750</v>
      </c>
      <c r="E205" s="213">
        <f>C205+D205</f>
        <v>76200</v>
      </c>
      <c r="F205" s="44">
        <f>E205-B205</f>
        <v>-1043800</v>
      </c>
      <c r="G205" s="90"/>
      <c r="H205" s="74"/>
    </row>
    <row r="206" spans="1:8">
      <c r="A206" s="54"/>
      <c r="B206" s="183"/>
      <c r="C206" s="183"/>
      <c r="D206" s="168"/>
      <c r="E206" s="213"/>
      <c r="F206" s="44"/>
      <c r="G206" s="90"/>
      <c r="H206" s="74"/>
    </row>
    <row r="207" spans="1:8">
      <c r="A207" s="83" t="s">
        <v>185</v>
      </c>
      <c r="B207" s="209">
        <f>B208+B209+B210+B211</f>
        <v>197500</v>
      </c>
      <c r="C207" s="209">
        <f>C208+C209+C210+C211</f>
        <v>103977.17</v>
      </c>
      <c r="D207" s="209">
        <f>D208+D209+D210+D211</f>
        <v>207954.34</v>
      </c>
      <c r="E207" s="209">
        <f>E208+E209+E210+E211</f>
        <v>311931.51</v>
      </c>
      <c r="F207" s="209">
        <f>F208+F209+F210+F211</f>
        <v>114431.51</v>
      </c>
      <c r="G207" s="90"/>
      <c r="H207" s="74"/>
    </row>
    <row r="208" spans="1:8">
      <c r="A208" s="54" t="s">
        <v>186</v>
      </c>
      <c r="B208" s="183">
        <v>173500</v>
      </c>
      <c r="C208" s="183">
        <v>90755.4</v>
      </c>
      <c r="D208" s="44">
        <f>(C208/4)*8</f>
        <v>181510.8</v>
      </c>
      <c r="E208" s="213">
        <f>C208+D208</f>
        <v>272266.2</v>
      </c>
      <c r="F208" s="44">
        <f>E208-B208</f>
        <v>98766.2</v>
      </c>
      <c r="G208" s="214"/>
      <c r="H208" s="74"/>
    </row>
    <row r="209" spans="1:8">
      <c r="A209" s="54" t="s">
        <v>187</v>
      </c>
      <c r="B209" s="183">
        <v>2000</v>
      </c>
      <c r="C209" s="183">
        <v>390.47</v>
      </c>
      <c r="D209" s="44">
        <f>(C209/4)*8</f>
        <v>780.94</v>
      </c>
      <c r="E209" s="213">
        <f>C209+D209</f>
        <v>1171.41</v>
      </c>
      <c r="F209" s="44">
        <f>E209-B209</f>
        <v>-828.59</v>
      </c>
      <c r="G209" s="90"/>
      <c r="H209" s="74"/>
    </row>
    <row r="210" spans="1:8">
      <c r="A210" s="54" t="s">
        <v>188</v>
      </c>
      <c r="B210" s="183">
        <v>20000</v>
      </c>
      <c r="C210" s="183">
        <v>11626.22</v>
      </c>
      <c r="D210" s="44">
        <f>(C210/4)*8</f>
        <v>23252.44</v>
      </c>
      <c r="E210" s="213">
        <f>C210+D210</f>
        <v>34878.66</v>
      </c>
      <c r="F210" s="44">
        <f>E210-B210</f>
        <v>14878.66</v>
      </c>
      <c r="G210" s="90"/>
      <c r="H210" s="74"/>
    </row>
    <row r="211" spans="1:8">
      <c r="A211" s="54" t="s">
        <v>189</v>
      </c>
      <c r="B211" s="183">
        <v>2000</v>
      </c>
      <c r="C211" s="183">
        <v>1205.08</v>
      </c>
      <c r="D211" s="44">
        <f>(C211/4)*8</f>
        <v>2410.16</v>
      </c>
      <c r="E211" s="213">
        <f>C211+D211</f>
        <v>3615.24</v>
      </c>
      <c r="F211" s="44">
        <f>E211-B211</f>
        <v>1615.24</v>
      </c>
      <c r="G211" s="90"/>
      <c r="H211" s="74"/>
    </row>
    <row r="212" spans="1:8">
      <c r="A212" s="54"/>
      <c r="B212" s="183"/>
      <c r="C212" s="183"/>
      <c r="D212" s="44"/>
      <c r="E212" s="215"/>
      <c r="F212" s="44"/>
      <c r="G212" s="90"/>
      <c r="H212" s="74"/>
    </row>
    <row r="213" spans="1:9">
      <c r="A213" s="83" t="s">
        <v>190</v>
      </c>
      <c r="B213" s="210">
        <f>SUM(B214+B220)</f>
        <v>3443364.7</v>
      </c>
      <c r="C213" s="210">
        <f>SUM(C214+C220)</f>
        <v>346565.43</v>
      </c>
      <c r="D213" s="210">
        <f>SUM(D214+D220)</f>
        <v>1825040.57</v>
      </c>
      <c r="E213" s="210">
        <f>SUM(E214+E220)</f>
        <v>2171606</v>
      </c>
      <c r="F213" s="210">
        <f>SUM(F214+F220)</f>
        <v>-1271758.7</v>
      </c>
      <c r="G213" s="90"/>
      <c r="H213" s="74"/>
      <c r="I213" s="68"/>
    </row>
    <row r="214" spans="1:9">
      <c r="A214" s="83" t="s">
        <v>191</v>
      </c>
      <c r="B214" s="210">
        <f>SUM(B215:B219)</f>
        <v>2646750</v>
      </c>
      <c r="C214" s="210">
        <f>SUM(C215:C219)</f>
        <v>346565.43</v>
      </c>
      <c r="D214" s="210">
        <f>SUM(D215:D219)</f>
        <v>1825040.57</v>
      </c>
      <c r="E214" s="210">
        <f>SUM(E215:E219)</f>
        <v>2171606</v>
      </c>
      <c r="F214" s="210">
        <f>SUM(F215:F219)</f>
        <v>-475144</v>
      </c>
      <c r="G214" s="212"/>
      <c r="H214" s="74"/>
      <c r="I214" s="68"/>
    </row>
    <row r="215" spans="1:8">
      <c r="A215" s="86" t="s">
        <v>192</v>
      </c>
      <c r="B215" s="52">
        <v>0</v>
      </c>
      <c r="C215" s="52">
        <v>0</v>
      </c>
      <c r="D215" s="52">
        <v>0</v>
      </c>
      <c r="E215" s="213">
        <f>C215+D215</f>
        <v>0</v>
      </c>
      <c r="F215" s="44">
        <f t="shared" ref="F215:F219" si="27">E215-B215</f>
        <v>0</v>
      </c>
      <c r="G215" s="90"/>
      <c r="H215" s="74"/>
    </row>
    <row r="216" ht="15" customHeight="1" spans="1:8">
      <c r="A216" s="86" t="s">
        <v>193</v>
      </c>
      <c r="B216" s="52">
        <v>169000</v>
      </c>
      <c r="C216" s="44">
        <v>107709.43</v>
      </c>
      <c r="D216" s="44">
        <f t="shared" ref="D216:D218" si="28">B216-C216</f>
        <v>61290.57</v>
      </c>
      <c r="E216" s="213">
        <f>C216+D216</f>
        <v>169000</v>
      </c>
      <c r="F216" s="44">
        <f t="shared" si="27"/>
        <v>0</v>
      </c>
      <c r="G216" s="90"/>
      <c r="H216" s="74"/>
    </row>
    <row r="217" spans="1:9">
      <c r="A217" s="41" t="s">
        <v>194</v>
      </c>
      <c r="B217" s="42">
        <v>2000000</v>
      </c>
      <c r="C217" s="42">
        <v>0</v>
      </c>
      <c r="D217" s="42">
        <v>1525000</v>
      </c>
      <c r="E217" s="213">
        <f>C217+D217</f>
        <v>1525000</v>
      </c>
      <c r="F217" s="44">
        <f t="shared" si="27"/>
        <v>-475000</v>
      </c>
      <c r="G217" s="90"/>
      <c r="H217" s="74"/>
      <c r="I217" s="68"/>
    </row>
    <row r="218" spans="1:9">
      <c r="A218" s="41" t="s">
        <v>195</v>
      </c>
      <c r="B218" s="42">
        <v>239000</v>
      </c>
      <c r="C218" s="44">
        <v>238856</v>
      </c>
      <c r="D218" s="42">
        <v>0</v>
      </c>
      <c r="E218" s="213">
        <f>C218+D218</f>
        <v>238856</v>
      </c>
      <c r="F218" s="44">
        <f t="shared" si="27"/>
        <v>-144</v>
      </c>
      <c r="G218" s="90"/>
      <c r="H218" s="74"/>
      <c r="I218" s="68"/>
    </row>
    <row r="219" spans="1:9">
      <c r="A219" s="41" t="s">
        <v>196</v>
      </c>
      <c r="B219" s="42">
        <v>238750</v>
      </c>
      <c r="C219" s="44">
        <v>0</v>
      </c>
      <c r="D219" s="44">
        <v>238750</v>
      </c>
      <c r="E219" s="213">
        <f>C219+D219</f>
        <v>238750</v>
      </c>
      <c r="F219" s="44">
        <f t="shared" si="27"/>
        <v>0</v>
      </c>
      <c r="G219" s="90"/>
      <c r="H219" s="74"/>
      <c r="I219" s="68"/>
    </row>
    <row r="220" spans="1:9">
      <c r="A220" s="83" t="s">
        <v>197</v>
      </c>
      <c r="B220" s="210">
        <f>SUM(B221:B223)</f>
        <v>796614.7</v>
      </c>
      <c r="C220" s="210">
        <f>SUM(C221:C223)</f>
        <v>0</v>
      </c>
      <c r="D220" s="210">
        <f>SUM(D221:D223)</f>
        <v>0</v>
      </c>
      <c r="E220" s="210">
        <f>SUM(E221:E223)</f>
        <v>0</v>
      </c>
      <c r="F220" s="210">
        <f>SUM(F221:F223)</f>
        <v>-796614.7</v>
      </c>
      <c r="G220" s="212"/>
      <c r="H220" s="74"/>
      <c r="I220" s="68"/>
    </row>
    <row r="221" spans="1:9">
      <c r="A221" s="51" t="s">
        <v>198</v>
      </c>
      <c r="B221" s="53">
        <v>605614.7</v>
      </c>
      <c r="C221" s="49">
        <v>0</v>
      </c>
      <c r="D221" s="44">
        <v>0</v>
      </c>
      <c r="E221" s="213">
        <f>C221+D221</f>
        <v>0</v>
      </c>
      <c r="F221" s="44">
        <f>E221-B221</f>
        <v>-605614.7</v>
      </c>
      <c r="G221" s="212"/>
      <c r="H221" s="74"/>
      <c r="I221" s="68"/>
    </row>
    <row r="222" spans="1:9">
      <c r="A222" s="51" t="s">
        <v>199</v>
      </c>
      <c r="B222" s="53">
        <v>71000</v>
      </c>
      <c r="C222" s="49">
        <v>0</v>
      </c>
      <c r="D222" s="49">
        <v>0</v>
      </c>
      <c r="E222" s="213">
        <f>C222+D222</f>
        <v>0</v>
      </c>
      <c r="F222" s="44">
        <f>E222-B222</f>
        <v>-71000</v>
      </c>
      <c r="G222" s="212"/>
      <c r="H222" s="74"/>
      <c r="I222" s="68"/>
    </row>
    <row r="223" spans="1:9">
      <c r="A223" s="41" t="s">
        <v>200</v>
      </c>
      <c r="B223" s="42">
        <v>120000</v>
      </c>
      <c r="C223" s="42">
        <v>0</v>
      </c>
      <c r="D223" s="37">
        <v>0</v>
      </c>
      <c r="E223" s="213">
        <f>C223+D223</f>
        <v>0</v>
      </c>
      <c r="F223" s="44">
        <f>E223-B223</f>
        <v>-120000</v>
      </c>
      <c r="G223" s="212"/>
      <c r="H223" s="74"/>
      <c r="I223" s="68"/>
    </row>
    <row r="224" spans="1:9">
      <c r="A224" s="83" t="s">
        <v>201</v>
      </c>
      <c r="B224" s="47">
        <f>SUM(B225:B225)</f>
        <v>143600</v>
      </c>
      <c r="C224" s="47">
        <f>SUM(C225:C225)</f>
        <v>118209.04</v>
      </c>
      <c r="D224" s="47">
        <f>SUM(D225:D225)</f>
        <v>84435.0285714286</v>
      </c>
      <c r="E224" s="47">
        <f>SUM(E225:E225)</f>
        <v>202644.068571429</v>
      </c>
      <c r="F224" s="47">
        <f>SUM(F225:F225)</f>
        <v>59044.0685714286</v>
      </c>
      <c r="G224" s="90"/>
      <c r="H224" s="74"/>
      <c r="I224" s="68"/>
    </row>
    <row r="225" spans="1:9">
      <c r="A225" s="41" t="s">
        <v>202</v>
      </c>
      <c r="B225" s="42">
        <v>143600</v>
      </c>
      <c r="C225" s="42">
        <v>118209.04</v>
      </c>
      <c r="D225" s="216">
        <f>(C225/7)*5</f>
        <v>84435.0285714286</v>
      </c>
      <c r="E225" s="217">
        <f>C225+D225</f>
        <v>202644.068571429</v>
      </c>
      <c r="F225" s="42">
        <f>E225-B225</f>
        <v>59044.0685714286</v>
      </c>
      <c r="G225" s="218"/>
      <c r="H225" s="219"/>
      <c r="I225" s="68"/>
    </row>
    <row r="226" spans="1:9">
      <c r="A226" s="45" t="s">
        <v>203</v>
      </c>
      <c r="B226" s="47">
        <v>0</v>
      </c>
      <c r="C226" s="47">
        <v>0</v>
      </c>
      <c r="D226" s="47">
        <v>0</v>
      </c>
      <c r="E226" s="47">
        <v>0</v>
      </c>
      <c r="F226" s="47">
        <f>E226-B226</f>
        <v>0</v>
      </c>
      <c r="G226" s="218"/>
      <c r="H226" s="219"/>
      <c r="I226" s="68"/>
    </row>
    <row r="227" spans="1:9">
      <c r="A227" s="83" t="s">
        <v>204</v>
      </c>
      <c r="B227" s="210">
        <f>SUM(B228+B237)</f>
        <v>9005600</v>
      </c>
      <c r="C227" s="210">
        <f>SUM(C228+C237)</f>
        <v>5326491.01</v>
      </c>
      <c r="D227" s="210">
        <f>SUM(D228+D237)</f>
        <v>3977261.43</v>
      </c>
      <c r="E227" s="210">
        <f>SUM(E228+E237)</f>
        <v>9303752.44</v>
      </c>
      <c r="F227" s="210">
        <f>SUM(F228+F237)</f>
        <v>298152.44</v>
      </c>
      <c r="G227" s="212"/>
      <c r="I227" s="68"/>
    </row>
    <row r="228" spans="1:9">
      <c r="A228" s="83" t="s">
        <v>205</v>
      </c>
      <c r="B228" s="210">
        <f>SUM(B229+B232)</f>
        <v>8584600</v>
      </c>
      <c r="C228" s="210">
        <f>SUM(C229+C232)</f>
        <v>5308091.13</v>
      </c>
      <c r="D228" s="210">
        <f>SUM(D229+D232)</f>
        <v>3964118.65857143</v>
      </c>
      <c r="E228" s="210">
        <f>SUM(E229+E232)</f>
        <v>9272209.78857143</v>
      </c>
      <c r="F228" s="210">
        <f>SUM(F229+F232)</f>
        <v>687609.788571428</v>
      </c>
      <c r="G228" s="212"/>
      <c r="I228" s="68"/>
    </row>
    <row r="229" spans="1:9">
      <c r="A229" s="83" t="s">
        <v>206</v>
      </c>
      <c r="B229" s="210">
        <f>SUM(B230:B230)</f>
        <v>8443600</v>
      </c>
      <c r="C229" s="210">
        <f>SUM(C230:C230)</f>
        <v>5165646.27</v>
      </c>
      <c r="D229" s="210">
        <f>SUM(D230:D230)</f>
        <v>3862372.33</v>
      </c>
      <c r="E229" s="210">
        <f>SUM(E230:E230)</f>
        <v>9028018.6</v>
      </c>
      <c r="F229" s="210">
        <f>SUM(F230:F230)</f>
        <v>584418.6</v>
      </c>
      <c r="G229" s="212"/>
      <c r="I229" s="68"/>
    </row>
    <row r="230" spans="1:9">
      <c r="A230" s="86" t="s">
        <v>207</v>
      </c>
      <c r="B230" s="52">
        <v>8443600</v>
      </c>
      <c r="C230" s="52">
        <v>5165646.27</v>
      </c>
      <c r="D230" s="52">
        <f>(E82+E84+E115+E116+E117)*20%-C230</f>
        <v>3862372.33</v>
      </c>
      <c r="E230" s="49">
        <f>C230+D230</f>
        <v>9028018.6</v>
      </c>
      <c r="F230" s="52">
        <f>E230-B230</f>
        <v>584418.6</v>
      </c>
      <c r="G230" s="212"/>
      <c r="I230" s="68"/>
    </row>
    <row r="231" spans="1:7">
      <c r="A231" s="86"/>
      <c r="B231" s="52"/>
      <c r="C231" s="52"/>
      <c r="D231" s="52"/>
      <c r="E231" s="49"/>
      <c r="F231" s="52"/>
      <c r="G231" s="90"/>
    </row>
    <row r="232" spans="1:7">
      <c r="A232" s="172" t="s">
        <v>208</v>
      </c>
      <c r="B232" s="49">
        <f>SUM(B233:B235)</f>
        <v>141000</v>
      </c>
      <c r="C232" s="49">
        <f>SUM(C233:C235)</f>
        <v>142444.86</v>
      </c>
      <c r="D232" s="49">
        <f>SUM(D233:D235)</f>
        <v>101746.328571429</v>
      </c>
      <c r="E232" s="49">
        <f>SUM(E233:E235)</f>
        <v>244191.188571429</v>
      </c>
      <c r="F232" s="49">
        <f>SUM(F233:F235)</f>
        <v>103191.188571429</v>
      </c>
      <c r="G232" s="90"/>
    </row>
    <row r="233" spans="1:7">
      <c r="A233" s="86" t="s">
        <v>209</v>
      </c>
      <c r="B233" s="52">
        <v>128700</v>
      </c>
      <c r="C233" s="52">
        <v>113217.3</v>
      </c>
      <c r="D233" s="44">
        <f>C233/7*5</f>
        <v>80869.5</v>
      </c>
      <c r="E233" s="49">
        <f>C233+D233</f>
        <v>194086.8</v>
      </c>
      <c r="F233" s="44">
        <f>E233-B233</f>
        <v>65386.8</v>
      </c>
      <c r="G233" s="212"/>
    </row>
    <row r="234" spans="1:7">
      <c r="A234" s="86" t="s">
        <v>210</v>
      </c>
      <c r="B234" s="52">
        <v>8500</v>
      </c>
      <c r="C234" s="52">
        <v>4550.61</v>
      </c>
      <c r="D234" s="44">
        <f>C234/7*5</f>
        <v>3250.43571428571</v>
      </c>
      <c r="E234" s="49">
        <f>C234+D234</f>
        <v>7801.04571428571</v>
      </c>
      <c r="F234" s="44">
        <f>E234-B234</f>
        <v>-698.954285714286</v>
      </c>
      <c r="G234" s="68"/>
    </row>
    <row r="235" spans="1:7">
      <c r="A235" s="86" t="s">
        <v>211</v>
      </c>
      <c r="B235" s="52">
        <v>3800</v>
      </c>
      <c r="C235" s="52">
        <v>24676.95</v>
      </c>
      <c r="D235" s="44">
        <f t="shared" ref="D235:D241" si="29">C235/7*5</f>
        <v>17626.3928571429</v>
      </c>
      <c r="E235" s="49">
        <f>C235+D235</f>
        <v>42303.3428571429</v>
      </c>
      <c r="F235" s="44">
        <f>E235-B235</f>
        <v>38503.3428571429</v>
      </c>
      <c r="G235" s="68"/>
    </row>
    <row r="236" spans="1:7">
      <c r="A236" s="86"/>
      <c r="B236" s="52"/>
      <c r="C236" s="52"/>
      <c r="D236" s="44"/>
      <c r="E236" s="49"/>
      <c r="F236" s="44"/>
      <c r="G236" s="68"/>
    </row>
    <row r="237" spans="1:7">
      <c r="A237" s="172" t="s">
        <v>212</v>
      </c>
      <c r="B237" s="49">
        <f>B240+B239+B238+B241</f>
        <v>421000</v>
      </c>
      <c r="C237" s="49">
        <f>C240+C239+C238+C241</f>
        <v>18399.88</v>
      </c>
      <c r="D237" s="49">
        <f>D240+D239+D238+D241</f>
        <v>13142.7714285714</v>
      </c>
      <c r="E237" s="49">
        <f>E240+E239+E238+E241</f>
        <v>31542.6514285714</v>
      </c>
      <c r="F237" s="49">
        <f>F240+F239+F238+F241</f>
        <v>-389457.348571429</v>
      </c>
      <c r="G237" s="68"/>
    </row>
    <row r="238" spans="1:7">
      <c r="A238" s="172" t="s">
        <v>182</v>
      </c>
      <c r="B238" s="49">
        <v>0</v>
      </c>
      <c r="C238" s="49">
        <v>0</v>
      </c>
      <c r="D238" s="49">
        <v>0</v>
      </c>
      <c r="E238" s="49">
        <f t="shared" ref="E238:E241" si="30">C238+D238</f>
        <v>0</v>
      </c>
      <c r="F238" s="44">
        <f t="shared" ref="F238:F241" si="31">E238-B238</f>
        <v>0</v>
      </c>
      <c r="G238" s="212"/>
    </row>
    <row r="239" spans="1:7">
      <c r="A239" s="51" t="s">
        <v>185</v>
      </c>
      <c r="B239" s="49">
        <v>1000</v>
      </c>
      <c r="C239" s="49">
        <v>662.64</v>
      </c>
      <c r="D239" s="44">
        <f t="shared" si="29"/>
        <v>473.314285714286</v>
      </c>
      <c r="E239" s="49">
        <f t="shared" si="30"/>
        <v>1135.95428571429</v>
      </c>
      <c r="F239" s="44">
        <f t="shared" si="31"/>
        <v>135.954285714286</v>
      </c>
      <c r="G239" s="68"/>
    </row>
    <row r="240" spans="1:7">
      <c r="A240" s="86" t="s">
        <v>213</v>
      </c>
      <c r="B240" s="52">
        <v>420000</v>
      </c>
      <c r="C240" s="52">
        <v>15000</v>
      </c>
      <c r="D240" s="44">
        <f t="shared" si="29"/>
        <v>10714.2857142857</v>
      </c>
      <c r="E240" s="49">
        <f t="shared" si="30"/>
        <v>25714.2857142857</v>
      </c>
      <c r="F240" s="44">
        <f t="shared" si="31"/>
        <v>-394285.714285714</v>
      </c>
      <c r="G240" s="68"/>
    </row>
    <row r="241" spans="1:7">
      <c r="A241" s="86" t="s">
        <v>214</v>
      </c>
      <c r="B241" s="52">
        <v>0</v>
      </c>
      <c r="C241" s="52">
        <v>2737.24</v>
      </c>
      <c r="D241" s="44">
        <f t="shared" si="29"/>
        <v>1955.17142857143</v>
      </c>
      <c r="E241" s="49">
        <f t="shared" si="30"/>
        <v>4692.41142857143</v>
      </c>
      <c r="F241" s="44">
        <f t="shared" si="31"/>
        <v>4692.41142857143</v>
      </c>
      <c r="G241" s="68"/>
    </row>
    <row r="242" spans="1:7">
      <c r="A242" s="220" t="s">
        <v>215</v>
      </c>
      <c r="B242" s="37">
        <f>B3+B51+B55+B61+B80+B141+B197+B201-B227</f>
        <v>93750000</v>
      </c>
      <c r="C242" s="37">
        <f>C3+C51+C55+C61+C80+C141+C197+C201+C226-C227</f>
        <v>56133309.85</v>
      </c>
      <c r="D242" s="37">
        <f>D3+D51+D55+D61+D80+D141+D197+D201+D226-D227</f>
        <v>43465125.1857143</v>
      </c>
      <c r="E242" s="37">
        <f>E3+E51+E55+E61+E80+E141+E197+E201+E226-E227</f>
        <v>99598435.0357143</v>
      </c>
      <c r="F242" s="37">
        <f>F3+F51+F55+F61+F80+F141+F197+F201+F226-F227</f>
        <v>5848435.03571429</v>
      </c>
      <c r="G242" s="68"/>
    </row>
    <row r="243" spans="2:7">
      <c r="B243" s="68"/>
      <c r="C243" s="68"/>
      <c r="D243" s="68"/>
      <c r="E243" s="68"/>
      <c r="G243" s="221"/>
    </row>
    <row r="244" spans="2:5">
      <c r="B244" s="68"/>
      <c r="C244" s="68"/>
      <c r="D244" s="68"/>
      <c r="E244" s="68"/>
    </row>
    <row r="245" spans="3:3">
      <c r="C245" s="29" t="s">
        <v>216</v>
      </c>
    </row>
    <row r="247" spans="2:6">
      <c r="B247" s="69" t="s">
        <v>217</v>
      </c>
      <c r="C247" s="70">
        <f>E52+E59+E198+E199+E189</f>
        <v>18789229.1871429</v>
      </c>
      <c r="E247" s="29" t="s">
        <v>218</v>
      </c>
      <c r="F247" s="70">
        <f>C247-C248</f>
        <v>3459229.18714286</v>
      </c>
    </row>
    <row r="248" spans="2:7">
      <c r="B248" s="69" t="s">
        <v>219</v>
      </c>
      <c r="C248" s="70">
        <f>B52+B59+B198+B199+B189</f>
        <v>15330000</v>
      </c>
      <c r="G248" s="70"/>
    </row>
  </sheetData>
  <mergeCells count="1">
    <mergeCell ref="A1:F1"/>
  </mergeCells>
  <pageMargins left="0.432638888888889" right="0.471527777777778" top="0.984027777777778" bottom="0.984027777777778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showGridLines="0" tabSelected="1" zoomScale="75" zoomScaleNormal="75" topLeftCell="A58" workbookViewId="0">
      <selection activeCell="I82" sqref="I82"/>
    </sheetView>
  </sheetViews>
  <sheetFormatPr defaultColWidth="9" defaultRowHeight="12.75"/>
  <cols>
    <col min="1" max="1" width="33.7142857142857" style="29" customWidth="1"/>
    <col min="2" max="2" width="18" style="29" customWidth="1"/>
    <col min="3" max="4" width="17.4285714285714" style="29" customWidth="1"/>
    <col min="5" max="5" width="16.8571428571429" style="29" customWidth="1"/>
    <col min="6" max="6" width="16.2857142857143" style="29" customWidth="1"/>
    <col min="7" max="7" width="17.2857142857143" style="29" customWidth="1"/>
    <col min="8" max="8" width="16.7142857142857" style="29" customWidth="1"/>
    <col min="9" max="9" width="17.8571428571429" style="29" customWidth="1"/>
    <col min="10" max="16384" width="9.14285714285714" style="29"/>
  </cols>
  <sheetData>
    <row r="1" ht="18" spans="1:8">
      <c r="A1" s="30" t="s">
        <v>220</v>
      </c>
      <c r="B1" s="30"/>
      <c r="C1" s="30"/>
      <c r="D1" s="30"/>
      <c r="E1" s="30"/>
      <c r="F1" s="30"/>
      <c r="G1" s="30"/>
      <c r="H1" s="30"/>
    </row>
    <row r="2" ht="95.25" customHeight="1" spans="1:9">
      <c r="A2" s="31" t="s">
        <v>221</v>
      </c>
      <c r="B2" s="31" t="s">
        <v>222</v>
      </c>
      <c r="C2" s="32" t="s">
        <v>223</v>
      </c>
      <c r="D2" s="32" t="s">
        <v>224</v>
      </c>
      <c r="E2" s="33" t="s">
        <v>225</v>
      </c>
      <c r="F2" s="34" t="s">
        <v>226</v>
      </c>
      <c r="G2" s="34" t="s">
        <v>227</v>
      </c>
      <c r="H2" s="35" t="s">
        <v>228</v>
      </c>
      <c r="I2" s="56" t="s">
        <v>229</v>
      </c>
    </row>
    <row r="3" spans="1:9">
      <c r="A3" s="36" t="s">
        <v>230</v>
      </c>
      <c r="B3" s="37">
        <f t="shared" ref="B3:G3" si="0">B4+B20+B24</f>
        <v>81583507.67</v>
      </c>
      <c r="C3" s="37">
        <f t="shared" si="0"/>
        <v>47993144.5</v>
      </c>
      <c r="D3" s="37">
        <f t="shared" si="0"/>
        <v>28483387.8435714</v>
      </c>
      <c r="E3" s="38">
        <f>C3+D3</f>
        <v>76476532.3435714</v>
      </c>
      <c r="F3" s="37">
        <f t="shared" si="0"/>
        <v>39925184.04</v>
      </c>
      <c r="G3" s="37">
        <f t="shared" si="0"/>
        <v>36551348.3035714</v>
      </c>
      <c r="H3" s="38">
        <f>F3+G3</f>
        <v>76476532.3435714</v>
      </c>
      <c r="I3" s="37">
        <f>I4+I20+I24</f>
        <v>5106975.32642857</v>
      </c>
    </row>
    <row r="4" spans="1:9">
      <c r="A4" s="39" t="s">
        <v>231</v>
      </c>
      <c r="B4" s="40">
        <f>SUM(B5:B16)+B17</f>
        <v>52217019.41</v>
      </c>
      <c r="C4" s="40">
        <f>SUM(C5:C16)+C17</f>
        <v>28303727.84</v>
      </c>
      <c r="D4" s="40">
        <f>SUM(D5:D16)+D17</f>
        <v>21088113.1792857</v>
      </c>
      <c r="E4" s="40">
        <f>C4+D4</f>
        <v>49391841.0192857</v>
      </c>
      <c r="F4" s="40">
        <f>SUM(F5:F16)+F17</f>
        <v>27900732.46</v>
      </c>
      <c r="G4" s="40">
        <f>SUM(G5:G16)+G17</f>
        <v>21491108.5592857</v>
      </c>
      <c r="H4" s="40">
        <f>F4+G4</f>
        <v>49391841.0192857</v>
      </c>
      <c r="I4" s="40">
        <f>SUM(I5:I16)+I17</f>
        <v>2825178.39071428</v>
      </c>
    </row>
    <row r="5" spans="1:9">
      <c r="A5" s="41" t="s">
        <v>232</v>
      </c>
      <c r="B5" s="42">
        <v>304530</v>
      </c>
      <c r="C5" s="42">
        <v>260706</v>
      </c>
      <c r="D5" s="42">
        <f>32878.5*4</f>
        <v>131514</v>
      </c>
      <c r="E5" s="43">
        <f t="shared" ref="E5:E18" si="1">C5+D5</f>
        <v>392220</v>
      </c>
      <c r="F5" s="42">
        <v>230149.5</v>
      </c>
      <c r="G5" s="42">
        <f t="shared" ref="G5:G10" si="2">E5-F5</f>
        <v>162070.5</v>
      </c>
      <c r="H5" s="43">
        <f t="shared" ref="H5:H18" si="3">F5+G5</f>
        <v>392220</v>
      </c>
      <c r="I5" s="57">
        <f t="shared" ref="I5:I18" si="4">B5-H5</f>
        <v>-87690</v>
      </c>
    </row>
    <row r="6" spans="1:9">
      <c r="A6" s="41" t="s">
        <v>233</v>
      </c>
      <c r="B6" s="42">
        <v>0</v>
      </c>
      <c r="C6" s="42">
        <v>0</v>
      </c>
      <c r="D6" s="42">
        <v>0</v>
      </c>
      <c r="E6" s="43">
        <f t="shared" si="1"/>
        <v>0</v>
      </c>
      <c r="F6" s="42">
        <v>0</v>
      </c>
      <c r="G6" s="42">
        <f t="shared" si="2"/>
        <v>0</v>
      </c>
      <c r="H6" s="43">
        <f t="shared" si="3"/>
        <v>0</v>
      </c>
      <c r="I6" s="44">
        <f t="shared" si="4"/>
        <v>0</v>
      </c>
    </row>
    <row r="7" spans="1:9">
      <c r="A7" s="41" t="s">
        <v>234</v>
      </c>
      <c r="B7" s="44">
        <v>25000</v>
      </c>
      <c r="C7" s="44">
        <v>23653</v>
      </c>
      <c r="D7" s="44">
        <v>0</v>
      </c>
      <c r="E7" s="43">
        <f t="shared" si="1"/>
        <v>23653</v>
      </c>
      <c r="F7" s="42">
        <v>14540.47</v>
      </c>
      <c r="G7" s="42">
        <f t="shared" si="2"/>
        <v>9112.53</v>
      </c>
      <c r="H7" s="43">
        <f t="shared" si="3"/>
        <v>23653</v>
      </c>
      <c r="I7" s="44">
        <f t="shared" si="4"/>
        <v>1347</v>
      </c>
    </row>
    <row r="8" spans="1:9">
      <c r="A8" s="45" t="s">
        <v>235</v>
      </c>
      <c r="B8" s="46">
        <v>9040000</v>
      </c>
      <c r="C8" s="46">
        <v>5137790.43</v>
      </c>
      <c r="D8" s="46">
        <f>731726.81*5.5</f>
        <v>4024497.455</v>
      </c>
      <c r="E8" s="47">
        <f t="shared" si="1"/>
        <v>9162287.885</v>
      </c>
      <c r="F8" s="47">
        <f>C8</f>
        <v>5137790.43</v>
      </c>
      <c r="G8" s="47">
        <f t="shared" si="2"/>
        <v>4024497.455</v>
      </c>
      <c r="H8" s="47">
        <f t="shared" si="3"/>
        <v>9162287.885</v>
      </c>
      <c r="I8" s="46">
        <f t="shared" si="4"/>
        <v>-122287.885</v>
      </c>
    </row>
    <row r="9" spans="1:9">
      <c r="A9" s="45" t="s">
        <v>236</v>
      </c>
      <c r="B9" s="46">
        <v>1950000</v>
      </c>
      <c r="C9" s="46">
        <v>1048855.14</v>
      </c>
      <c r="D9" s="46">
        <f>143269.48*5.5</f>
        <v>787982.14</v>
      </c>
      <c r="E9" s="47">
        <f t="shared" si="1"/>
        <v>1836837.28</v>
      </c>
      <c r="F9" s="47">
        <f>C9</f>
        <v>1048855.14</v>
      </c>
      <c r="G9" s="47">
        <f t="shared" si="2"/>
        <v>787982.14</v>
      </c>
      <c r="H9" s="47">
        <f t="shared" si="3"/>
        <v>1836837.28</v>
      </c>
      <c r="I9" s="46">
        <f t="shared" si="4"/>
        <v>113162.72</v>
      </c>
    </row>
    <row r="10" spans="1:9">
      <c r="A10" s="41" t="s">
        <v>237</v>
      </c>
      <c r="B10" s="44">
        <v>778000</v>
      </c>
      <c r="C10" s="44">
        <v>463204.1</v>
      </c>
      <c r="D10" s="44">
        <v>100000</v>
      </c>
      <c r="E10" s="43">
        <f t="shared" si="1"/>
        <v>563204.1</v>
      </c>
      <c r="F10" s="42">
        <f>C10</f>
        <v>463204.1</v>
      </c>
      <c r="G10" s="42">
        <f t="shared" si="2"/>
        <v>100000</v>
      </c>
      <c r="H10" s="43">
        <f t="shared" si="3"/>
        <v>563204.1</v>
      </c>
      <c r="I10" s="44">
        <f t="shared" si="4"/>
        <v>214795.9</v>
      </c>
    </row>
    <row r="11" spans="1:9">
      <c r="A11" s="41" t="s">
        <v>238</v>
      </c>
      <c r="B11" s="44">
        <v>28495479.41</v>
      </c>
      <c r="C11" s="44">
        <v>14515154.21</v>
      </c>
      <c r="D11" s="44">
        <f>1948816.69*5.5</f>
        <v>10718491.795</v>
      </c>
      <c r="E11" s="43">
        <f t="shared" si="1"/>
        <v>25233646.005</v>
      </c>
      <c r="F11" s="42">
        <f t="shared" ref="F11:F16" si="5">C11</f>
        <v>14515154.21</v>
      </c>
      <c r="G11" s="42">
        <f t="shared" ref="G11:G16" si="6">E11-F11</f>
        <v>10718491.795</v>
      </c>
      <c r="H11" s="43">
        <f t="shared" si="3"/>
        <v>25233646.005</v>
      </c>
      <c r="I11" s="58">
        <f t="shared" si="4"/>
        <v>3261833.405</v>
      </c>
    </row>
    <row r="12" spans="1:9">
      <c r="A12" s="45" t="s">
        <v>239</v>
      </c>
      <c r="B12" s="46">
        <v>70000</v>
      </c>
      <c r="C12" s="46">
        <v>26370.02</v>
      </c>
      <c r="D12" s="46">
        <f>3763.83*5.5</f>
        <v>20701.065</v>
      </c>
      <c r="E12" s="47">
        <f t="shared" si="1"/>
        <v>47071.085</v>
      </c>
      <c r="F12" s="47">
        <f t="shared" si="5"/>
        <v>26370.02</v>
      </c>
      <c r="G12" s="47">
        <f t="shared" si="6"/>
        <v>20701.065</v>
      </c>
      <c r="H12" s="47">
        <f t="shared" si="3"/>
        <v>47071.085</v>
      </c>
      <c r="I12" s="46">
        <f t="shared" si="4"/>
        <v>22928.915</v>
      </c>
    </row>
    <row r="13" spans="1:9">
      <c r="A13" s="41" t="s">
        <v>240</v>
      </c>
      <c r="B13" s="44">
        <v>691000</v>
      </c>
      <c r="C13" s="44">
        <v>400733.59</v>
      </c>
      <c r="D13" s="44">
        <f>60928.83*6</f>
        <v>365572.98</v>
      </c>
      <c r="E13" s="43">
        <f t="shared" si="1"/>
        <v>766306.57</v>
      </c>
      <c r="F13" s="42">
        <f>C13-0.02</f>
        <v>400733.57</v>
      </c>
      <c r="G13" s="42">
        <f t="shared" si="6"/>
        <v>365573</v>
      </c>
      <c r="H13" s="43">
        <f t="shared" si="3"/>
        <v>766306.57</v>
      </c>
      <c r="I13" s="44">
        <f t="shared" si="4"/>
        <v>-75306.5700000001</v>
      </c>
    </row>
    <row r="14" spans="1:9">
      <c r="A14" s="41" t="s">
        <v>241</v>
      </c>
      <c r="B14" s="44">
        <v>285200</v>
      </c>
      <c r="C14" s="44">
        <v>152750.8</v>
      </c>
      <c r="D14" s="44">
        <f>(C14/7)*5</f>
        <v>109107.714285714</v>
      </c>
      <c r="E14" s="43">
        <f t="shared" si="1"/>
        <v>261858.514285714</v>
      </c>
      <c r="F14" s="42">
        <f t="shared" si="5"/>
        <v>152750.8</v>
      </c>
      <c r="G14" s="42">
        <f t="shared" si="6"/>
        <v>109107.714285714</v>
      </c>
      <c r="H14" s="43">
        <f t="shared" si="3"/>
        <v>261858.514285714</v>
      </c>
      <c r="I14" s="44">
        <f t="shared" si="4"/>
        <v>23341.4857142857</v>
      </c>
    </row>
    <row r="15" spans="1:9">
      <c r="A15" s="41" t="s">
        <v>242</v>
      </c>
      <c r="B15" s="44">
        <v>167810</v>
      </c>
      <c r="C15" s="44">
        <v>113070.37</v>
      </c>
      <c r="D15" s="44">
        <f>(C15/7)*5</f>
        <v>80764.55</v>
      </c>
      <c r="E15" s="43">
        <f t="shared" si="1"/>
        <v>193834.92</v>
      </c>
      <c r="F15" s="44">
        <f t="shared" si="5"/>
        <v>113070.37</v>
      </c>
      <c r="G15" s="44">
        <f t="shared" si="6"/>
        <v>80764.55</v>
      </c>
      <c r="H15" s="48">
        <f t="shared" si="3"/>
        <v>193834.92</v>
      </c>
      <c r="I15" s="44">
        <f t="shared" si="4"/>
        <v>-26024.92</v>
      </c>
    </row>
    <row r="16" spans="1:9">
      <c r="A16" s="41" t="s">
        <v>243</v>
      </c>
      <c r="B16" s="44">
        <v>710000</v>
      </c>
      <c r="C16" s="44">
        <v>700000</v>
      </c>
      <c r="D16" s="44">
        <v>10000</v>
      </c>
      <c r="E16" s="43">
        <f t="shared" si="1"/>
        <v>710000</v>
      </c>
      <c r="F16" s="44">
        <v>336673.67</v>
      </c>
      <c r="G16" s="44">
        <f t="shared" si="6"/>
        <v>373326.33</v>
      </c>
      <c r="H16" s="48">
        <f t="shared" si="3"/>
        <v>710000</v>
      </c>
      <c r="I16" s="44">
        <f t="shared" si="4"/>
        <v>0</v>
      </c>
    </row>
    <row r="17" spans="1:9">
      <c r="A17" s="36" t="s">
        <v>244</v>
      </c>
      <c r="B17" s="37">
        <f>B18</f>
        <v>9700000</v>
      </c>
      <c r="C17" s="37">
        <f>C18</f>
        <v>5461440.18</v>
      </c>
      <c r="D17" s="37">
        <f>D18</f>
        <v>4739481.48</v>
      </c>
      <c r="E17" s="38">
        <f t="shared" si="1"/>
        <v>10200921.66</v>
      </c>
      <c r="F17" s="37">
        <f>F18</f>
        <v>5461440.18</v>
      </c>
      <c r="G17" s="37">
        <f>G18</f>
        <v>4739481.48</v>
      </c>
      <c r="H17" s="38">
        <f t="shared" si="3"/>
        <v>10200921.66</v>
      </c>
      <c r="I17" s="37">
        <f t="shared" si="4"/>
        <v>-500921.66</v>
      </c>
    </row>
    <row r="18" spans="1:9">
      <c r="A18" s="41" t="s">
        <v>245</v>
      </c>
      <c r="B18" s="44">
        <v>9700000</v>
      </c>
      <c r="C18" s="44">
        <v>5461440.18</v>
      </c>
      <c r="D18" s="44">
        <f>789913.58*6</f>
        <v>4739481.48</v>
      </c>
      <c r="E18" s="43">
        <f t="shared" si="1"/>
        <v>10200921.66</v>
      </c>
      <c r="F18" s="44">
        <f>C18</f>
        <v>5461440.18</v>
      </c>
      <c r="G18" s="44">
        <f>E18-F18</f>
        <v>4739481.48</v>
      </c>
      <c r="H18" s="48">
        <f t="shared" si="3"/>
        <v>10200921.66</v>
      </c>
      <c r="I18" s="37">
        <f t="shared" si="4"/>
        <v>-500921.66</v>
      </c>
    </row>
    <row r="19" spans="1:9">
      <c r="A19" s="41"/>
      <c r="B19" s="44"/>
      <c r="C19" s="44"/>
      <c r="D19" s="44"/>
      <c r="E19" s="43"/>
      <c r="F19" s="44"/>
      <c r="G19" s="44"/>
      <c r="H19" s="48"/>
      <c r="I19" s="44"/>
    </row>
    <row r="20" spans="1:9">
      <c r="A20" s="36" t="s">
        <v>246</v>
      </c>
      <c r="B20" s="37">
        <f t="shared" ref="B20:G20" si="7">B21+B22</f>
        <v>50500</v>
      </c>
      <c r="C20" s="37">
        <f t="shared" si="7"/>
        <v>38868.89</v>
      </c>
      <c r="D20" s="49">
        <f t="shared" si="7"/>
        <v>0</v>
      </c>
      <c r="E20" s="40">
        <f t="shared" ref="E20:E22" si="8">C20+D20</f>
        <v>38868.89</v>
      </c>
      <c r="F20" s="40">
        <f t="shared" si="7"/>
        <v>26392.14</v>
      </c>
      <c r="G20" s="40">
        <f t="shared" si="7"/>
        <v>12476.75</v>
      </c>
      <c r="H20" s="40">
        <f t="shared" ref="H20:H22" si="9">F20+G20</f>
        <v>38868.89</v>
      </c>
      <c r="I20" s="40">
        <f>I21+I22</f>
        <v>11631.11</v>
      </c>
    </row>
    <row r="21" spans="1:9">
      <c r="A21" s="41" t="s">
        <v>247</v>
      </c>
      <c r="B21" s="44">
        <v>50200</v>
      </c>
      <c r="C21" s="44">
        <v>38868.89</v>
      </c>
      <c r="D21" s="44">
        <v>0</v>
      </c>
      <c r="E21" s="43">
        <f t="shared" si="8"/>
        <v>38868.89</v>
      </c>
      <c r="F21" s="44">
        <v>26392.14</v>
      </c>
      <c r="G21" s="44">
        <f>E21-F21</f>
        <v>12476.75</v>
      </c>
      <c r="H21" s="48">
        <f t="shared" si="9"/>
        <v>38868.89</v>
      </c>
      <c r="I21" s="44">
        <f>B21-H21</f>
        <v>11331.11</v>
      </c>
    </row>
    <row r="22" spans="1:9">
      <c r="A22" s="41" t="s">
        <v>248</v>
      </c>
      <c r="B22" s="44">
        <v>300</v>
      </c>
      <c r="C22" s="44">
        <v>0</v>
      </c>
      <c r="D22" s="44">
        <v>0</v>
      </c>
      <c r="E22" s="43">
        <f t="shared" si="8"/>
        <v>0</v>
      </c>
      <c r="F22" s="44">
        <f>C22</f>
        <v>0</v>
      </c>
      <c r="G22" s="44">
        <f>E22-F22</f>
        <v>0</v>
      </c>
      <c r="H22" s="48">
        <f t="shared" si="9"/>
        <v>0</v>
      </c>
      <c r="I22" s="44">
        <f>B22-H22</f>
        <v>300</v>
      </c>
    </row>
    <row r="23" spans="1:9">
      <c r="A23" s="41"/>
      <c r="B23" s="44"/>
      <c r="C23" s="44"/>
      <c r="D23" s="44" t="s">
        <v>249</v>
      </c>
      <c r="E23" s="43"/>
      <c r="F23" s="44"/>
      <c r="G23" s="44"/>
      <c r="H23" s="48"/>
      <c r="I23" s="44"/>
    </row>
    <row r="24" spans="1:9">
      <c r="A24" s="39" t="s">
        <v>250</v>
      </c>
      <c r="B24" s="40">
        <f t="shared" ref="B24:G24" si="10">B25+B32</f>
        <v>29315988.26</v>
      </c>
      <c r="C24" s="40">
        <f t="shared" si="10"/>
        <v>19650547.77</v>
      </c>
      <c r="D24" s="40">
        <f t="shared" si="10"/>
        <v>7395274.66428571</v>
      </c>
      <c r="E24" s="40">
        <f>C24+D24</f>
        <v>27045822.4342857</v>
      </c>
      <c r="F24" s="40">
        <f t="shared" si="10"/>
        <v>11998059.44</v>
      </c>
      <c r="G24" s="40">
        <f t="shared" si="10"/>
        <v>15047762.9942857</v>
      </c>
      <c r="H24" s="40">
        <f>F24+G24</f>
        <v>27045822.4342857</v>
      </c>
      <c r="I24" s="40">
        <f>I25+I32</f>
        <v>2270165.82571429</v>
      </c>
    </row>
    <row r="25" spans="1:9">
      <c r="A25" s="36" t="s">
        <v>251</v>
      </c>
      <c r="B25" s="37">
        <f t="shared" ref="B25:I25" si="11">SUM(B26:B31)</f>
        <v>1047900</v>
      </c>
      <c r="C25" s="37">
        <f t="shared" si="11"/>
        <v>620693.28</v>
      </c>
      <c r="D25" s="37">
        <f t="shared" si="11"/>
        <v>445000</v>
      </c>
      <c r="E25" s="38">
        <f>C25+D25</f>
        <v>1065693.28</v>
      </c>
      <c r="F25" s="37">
        <f t="shared" si="11"/>
        <v>524709.77</v>
      </c>
      <c r="G25" s="37">
        <f t="shared" si="11"/>
        <v>540983.51</v>
      </c>
      <c r="H25" s="38">
        <f t="shared" si="11"/>
        <v>1065693.28</v>
      </c>
      <c r="I25" s="37">
        <f t="shared" si="11"/>
        <v>-17793.28</v>
      </c>
    </row>
    <row r="26" spans="1:9">
      <c r="A26" s="41" t="s">
        <v>252</v>
      </c>
      <c r="B26" s="44">
        <v>1100</v>
      </c>
      <c r="C26" s="44">
        <v>0</v>
      </c>
      <c r="D26" s="44">
        <v>0</v>
      </c>
      <c r="E26" s="43">
        <f t="shared" ref="E26" si="12">C26+D26</f>
        <v>0</v>
      </c>
      <c r="F26" s="44">
        <v>0</v>
      </c>
      <c r="G26" s="44">
        <f t="shared" ref="G26" si="13">E26-F26</f>
        <v>0</v>
      </c>
      <c r="H26" s="48">
        <f t="shared" ref="H26" si="14">F26+G26</f>
        <v>0</v>
      </c>
      <c r="I26" s="44">
        <f t="shared" ref="I26" si="15">B26-H26</f>
        <v>1100</v>
      </c>
    </row>
    <row r="27" spans="1:9">
      <c r="A27" s="41" t="s">
        <v>253</v>
      </c>
      <c r="B27" s="44">
        <v>152000</v>
      </c>
      <c r="C27" s="44">
        <v>82000</v>
      </c>
      <c r="D27" s="44">
        <v>5000</v>
      </c>
      <c r="E27" s="43">
        <f t="shared" ref="E26:E31" si="16">C27+D27</f>
        <v>87000</v>
      </c>
      <c r="F27" s="44">
        <v>46230.01</v>
      </c>
      <c r="G27" s="44">
        <f t="shared" ref="G26:G31" si="17">E27-F27</f>
        <v>40769.99</v>
      </c>
      <c r="H27" s="48">
        <f t="shared" ref="H26:H31" si="18">F27+G27</f>
        <v>87000</v>
      </c>
      <c r="I27" s="44">
        <f t="shared" ref="I26:I31" si="19">B27-H27</f>
        <v>65000</v>
      </c>
    </row>
    <row r="28" spans="1:9">
      <c r="A28" s="41" t="s">
        <v>254</v>
      </c>
      <c r="B28" s="44">
        <v>100</v>
      </c>
      <c r="C28" s="44">
        <v>0</v>
      </c>
      <c r="D28" s="44">
        <v>0</v>
      </c>
      <c r="E28" s="43">
        <f t="shared" si="16"/>
        <v>0</v>
      </c>
      <c r="F28" s="44">
        <v>0</v>
      </c>
      <c r="G28" s="44">
        <v>0</v>
      </c>
      <c r="H28" s="48">
        <v>0</v>
      </c>
      <c r="I28" s="44">
        <f t="shared" si="19"/>
        <v>100</v>
      </c>
    </row>
    <row r="29" spans="1:9">
      <c r="A29" s="50" t="s">
        <v>255</v>
      </c>
      <c r="B29" s="44">
        <v>708200</v>
      </c>
      <c r="C29" s="44">
        <v>359451.6</v>
      </c>
      <c r="D29" s="44">
        <v>350000</v>
      </c>
      <c r="E29" s="43">
        <f t="shared" si="16"/>
        <v>709451.6</v>
      </c>
      <c r="F29" s="44">
        <v>320460.15</v>
      </c>
      <c r="G29" s="44">
        <f t="shared" si="17"/>
        <v>388991.45</v>
      </c>
      <c r="H29" s="48">
        <f t="shared" si="18"/>
        <v>709451.6</v>
      </c>
      <c r="I29" s="44">
        <f t="shared" si="19"/>
        <v>-1251.59999999998</v>
      </c>
    </row>
    <row r="30" spans="1:9">
      <c r="A30" s="41" t="s">
        <v>256</v>
      </c>
      <c r="B30" s="44">
        <v>6500</v>
      </c>
      <c r="C30" s="44">
        <v>0</v>
      </c>
      <c r="D30" s="44">
        <v>0</v>
      </c>
      <c r="E30" s="43">
        <f t="shared" si="16"/>
        <v>0</v>
      </c>
      <c r="F30" s="44">
        <f>C30</f>
        <v>0</v>
      </c>
      <c r="G30" s="44">
        <f t="shared" si="17"/>
        <v>0</v>
      </c>
      <c r="H30" s="48">
        <f t="shared" si="18"/>
        <v>0</v>
      </c>
      <c r="I30" s="44">
        <f t="shared" si="19"/>
        <v>6500</v>
      </c>
    </row>
    <row r="31" spans="1:9">
      <c r="A31" s="41" t="s">
        <v>257</v>
      </c>
      <c r="B31" s="44">
        <v>180000</v>
      </c>
      <c r="C31" s="44">
        <v>179241.68</v>
      </c>
      <c r="D31" s="44">
        <v>90000</v>
      </c>
      <c r="E31" s="43">
        <f t="shared" si="16"/>
        <v>269241.68</v>
      </c>
      <c r="F31" s="44">
        <v>158019.61</v>
      </c>
      <c r="G31" s="44">
        <f t="shared" si="17"/>
        <v>111222.07</v>
      </c>
      <c r="H31" s="48">
        <f t="shared" si="18"/>
        <v>269241.68</v>
      </c>
      <c r="I31" s="44">
        <f t="shared" si="19"/>
        <v>-89241.68</v>
      </c>
    </row>
    <row r="32" spans="1:9">
      <c r="A32" s="36" t="s">
        <v>258</v>
      </c>
      <c r="B32" s="37">
        <f t="shared" ref="B32:I32" si="20">SUM(B33:B59)</f>
        <v>28268088.26</v>
      </c>
      <c r="C32" s="37">
        <f t="shared" si="20"/>
        <v>19029854.49</v>
      </c>
      <c r="D32" s="37">
        <f t="shared" si="20"/>
        <v>6950274.66428571</v>
      </c>
      <c r="E32" s="38">
        <f>SUM(E34:E59)</f>
        <v>24908740.9842857</v>
      </c>
      <c r="F32" s="37">
        <f t="shared" si="20"/>
        <v>11473349.67</v>
      </c>
      <c r="G32" s="37">
        <f t="shared" si="20"/>
        <v>14506779.4842857</v>
      </c>
      <c r="H32" s="37">
        <f t="shared" si="20"/>
        <v>25980129.1542857</v>
      </c>
      <c r="I32" s="37">
        <f t="shared" si="20"/>
        <v>2287959.10571428</v>
      </c>
    </row>
    <row r="33" spans="1:9">
      <c r="A33" s="41" t="s">
        <v>259</v>
      </c>
      <c r="B33" s="44">
        <v>1193200</v>
      </c>
      <c r="C33" s="44">
        <v>618734.37</v>
      </c>
      <c r="D33" s="44">
        <f>90530.76*5</f>
        <v>452653.8</v>
      </c>
      <c r="E33" s="43">
        <f>C33+D33</f>
        <v>1071388.17</v>
      </c>
      <c r="F33" s="44">
        <f>C33</f>
        <v>618734.37</v>
      </c>
      <c r="G33" s="44">
        <f>E33-F33</f>
        <v>452653.8</v>
      </c>
      <c r="H33" s="48">
        <f>F33+G33</f>
        <v>1071388.17</v>
      </c>
      <c r="I33" s="44">
        <f>B33-H33</f>
        <v>121811.83</v>
      </c>
    </row>
    <row r="34" spans="1:9">
      <c r="A34" s="41" t="s">
        <v>260</v>
      </c>
      <c r="B34" s="44">
        <v>111600</v>
      </c>
      <c r="C34" s="44">
        <v>65632.64</v>
      </c>
      <c r="D34" s="44">
        <f>(C34/7)*5</f>
        <v>46880.4571428571</v>
      </c>
      <c r="E34" s="43">
        <f t="shared" ref="E34:E46" si="21">C34+D34</f>
        <v>112513.097142857</v>
      </c>
      <c r="F34" s="44">
        <v>54052.64</v>
      </c>
      <c r="G34" s="44">
        <f t="shared" ref="G34:G46" si="22">E34-F34</f>
        <v>58460.4571428571</v>
      </c>
      <c r="H34" s="48">
        <f t="shared" ref="H34:H46" si="23">F34+G34</f>
        <v>112513.097142857</v>
      </c>
      <c r="I34" s="44">
        <f t="shared" ref="I34:I46" si="24">B34-H34</f>
        <v>-913.097142857136</v>
      </c>
    </row>
    <row r="35" spans="1:9">
      <c r="A35" s="45" t="s">
        <v>261</v>
      </c>
      <c r="B35" s="46">
        <v>6000</v>
      </c>
      <c r="C35" s="46">
        <v>0</v>
      </c>
      <c r="D35" s="46">
        <v>0</v>
      </c>
      <c r="E35" s="47">
        <f t="shared" si="21"/>
        <v>0</v>
      </c>
      <c r="F35" s="46">
        <f>C35</f>
        <v>0</v>
      </c>
      <c r="G35" s="46">
        <f t="shared" si="22"/>
        <v>0</v>
      </c>
      <c r="H35" s="46">
        <f t="shared" si="23"/>
        <v>0</v>
      </c>
      <c r="I35" s="46">
        <f t="shared" si="24"/>
        <v>6000</v>
      </c>
    </row>
    <row r="36" spans="1:9">
      <c r="A36" s="51" t="s">
        <v>262</v>
      </c>
      <c r="B36" s="52">
        <v>29740</v>
      </c>
      <c r="C36" s="52">
        <v>23152</v>
      </c>
      <c r="D36" s="52">
        <v>0</v>
      </c>
      <c r="E36" s="53">
        <f t="shared" si="21"/>
        <v>23152</v>
      </c>
      <c r="F36" s="52">
        <v>6687.2</v>
      </c>
      <c r="G36" s="52">
        <f t="shared" si="22"/>
        <v>16464.8</v>
      </c>
      <c r="H36" s="52">
        <f t="shared" si="23"/>
        <v>23152</v>
      </c>
      <c r="I36" s="52">
        <f t="shared" si="24"/>
        <v>6588</v>
      </c>
    </row>
    <row r="37" spans="1:9">
      <c r="A37" s="41" t="s">
        <v>263</v>
      </c>
      <c r="B37" s="44">
        <v>7306581.75</v>
      </c>
      <c r="C37" s="44">
        <v>3983748.98</v>
      </c>
      <c r="D37" s="44">
        <f>533707.51*5</f>
        <v>2668537.55</v>
      </c>
      <c r="E37" s="43">
        <f t="shared" si="21"/>
        <v>6652286.53</v>
      </c>
      <c r="F37" s="44">
        <v>2243658.98</v>
      </c>
      <c r="G37" s="44">
        <f t="shared" si="22"/>
        <v>4408627.55</v>
      </c>
      <c r="H37" s="48">
        <f t="shared" si="23"/>
        <v>6652286.53</v>
      </c>
      <c r="I37" s="44">
        <f t="shared" si="24"/>
        <v>654295.220000001</v>
      </c>
    </row>
    <row r="38" spans="1:9">
      <c r="A38" s="41" t="s">
        <v>264</v>
      </c>
      <c r="B38" s="44">
        <v>150000</v>
      </c>
      <c r="C38" s="44">
        <v>22743.35</v>
      </c>
      <c r="D38" s="44">
        <f t="shared" ref="D38:D40" si="25">(C38/7)*5</f>
        <v>16245.25</v>
      </c>
      <c r="E38" s="43">
        <f t="shared" si="21"/>
        <v>38988.6</v>
      </c>
      <c r="F38" s="44">
        <v>20287.1</v>
      </c>
      <c r="G38" s="44">
        <f t="shared" si="22"/>
        <v>18701.5</v>
      </c>
      <c r="H38" s="48">
        <f t="shared" si="23"/>
        <v>38988.6</v>
      </c>
      <c r="I38" s="44">
        <f t="shared" si="24"/>
        <v>111011.4</v>
      </c>
    </row>
    <row r="39" spans="1:9">
      <c r="A39" s="41" t="s">
        <v>265</v>
      </c>
      <c r="B39" s="44">
        <v>1983948.4</v>
      </c>
      <c r="C39" s="44">
        <v>769873.23</v>
      </c>
      <c r="D39" s="44">
        <f t="shared" si="25"/>
        <v>549909.45</v>
      </c>
      <c r="E39" s="43">
        <f t="shared" si="21"/>
        <v>1319782.68</v>
      </c>
      <c r="F39" s="44">
        <v>623322.3</v>
      </c>
      <c r="G39" s="44">
        <f t="shared" si="22"/>
        <v>696460.38</v>
      </c>
      <c r="H39" s="48">
        <f t="shared" si="23"/>
        <v>1319782.68</v>
      </c>
      <c r="I39" s="44">
        <f t="shared" si="24"/>
        <v>664165.72</v>
      </c>
    </row>
    <row r="40" spans="1:9">
      <c r="A40" s="41" t="s">
        <v>266</v>
      </c>
      <c r="B40" s="44">
        <v>71750</v>
      </c>
      <c r="C40" s="44">
        <v>27660.58</v>
      </c>
      <c r="D40" s="44">
        <f t="shared" si="25"/>
        <v>19757.5571428571</v>
      </c>
      <c r="E40" s="43">
        <f t="shared" si="21"/>
        <v>47418.1371428571</v>
      </c>
      <c r="F40" s="44">
        <v>27660.58</v>
      </c>
      <c r="G40" s="44">
        <f t="shared" si="22"/>
        <v>19757.5571428571</v>
      </c>
      <c r="H40" s="48">
        <f t="shared" si="23"/>
        <v>47418.1371428571</v>
      </c>
      <c r="I40" s="44">
        <f t="shared" si="24"/>
        <v>24331.8628571429</v>
      </c>
    </row>
    <row r="41" spans="1:9">
      <c r="A41" s="45" t="s">
        <v>267</v>
      </c>
      <c r="B41" s="46">
        <v>3900</v>
      </c>
      <c r="C41" s="46">
        <v>0</v>
      </c>
      <c r="D41" s="46">
        <v>0</v>
      </c>
      <c r="E41" s="47">
        <f t="shared" si="21"/>
        <v>0</v>
      </c>
      <c r="F41" s="46">
        <f>C41</f>
        <v>0</v>
      </c>
      <c r="G41" s="46">
        <f t="shared" si="22"/>
        <v>0</v>
      </c>
      <c r="H41" s="46">
        <f t="shared" si="23"/>
        <v>0</v>
      </c>
      <c r="I41" s="46">
        <f t="shared" si="24"/>
        <v>3900</v>
      </c>
    </row>
    <row r="42" spans="1:9">
      <c r="A42" s="51" t="s">
        <v>268</v>
      </c>
      <c r="B42" s="52">
        <v>52570</v>
      </c>
      <c r="C42" s="52">
        <v>51807.78</v>
      </c>
      <c r="D42" s="44">
        <f>(C42/7)*5</f>
        <v>37005.5571428571</v>
      </c>
      <c r="E42" s="43">
        <f t="shared" si="21"/>
        <v>88813.3371428571</v>
      </c>
      <c r="F42" s="52">
        <v>28794.66</v>
      </c>
      <c r="G42" s="44">
        <f t="shared" si="22"/>
        <v>60018.6771428571</v>
      </c>
      <c r="H42" s="48">
        <f t="shared" si="23"/>
        <v>88813.3371428571</v>
      </c>
      <c r="I42" s="44">
        <f t="shared" si="24"/>
        <v>-36243.3371428571</v>
      </c>
    </row>
    <row r="43" spans="1:9">
      <c r="A43" s="41" t="s">
        <v>269</v>
      </c>
      <c r="B43" s="44">
        <v>59000</v>
      </c>
      <c r="C43" s="44">
        <v>53832.96</v>
      </c>
      <c r="D43" s="44">
        <v>0</v>
      </c>
      <c r="E43" s="43">
        <f t="shared" si="21"/>
        <v>53832.96</v>
      </c>
      <c r="F43" s="44">
        <v>26605.61</v>
      </c>
      <c r="G43" s="44">
        <f t="shared" si="22"/>
        <v>27227.35</v>
      </c>
      <c r="H43" s="48">
        <f t="shared" si="23"/>
        <v>53832.96</v>
      </c>
      <c r="I43" s="52">
        <f t="shared" si="24"/>
        <v>5167.04</v>
      </c>
    </row>
    <row r="44" spans="1:9">
      <c r="A44" s="41" t="s">
        <v>270</v>
      </c>
      <c r="B44" s="44">
        <v>138300</v>
      </c>
      <c r="C44" s="44">
        <v>78249.22</v>
      </c>
      <c r="D44" s="44">
        <f>(C44/7)*5</f>
        <v>55892.3</v>
      </c>
      <c r="E44" s="43">
        <f t="shared" si="21"/>
        <v>134141.52</v>
      </c>
      <c r="F44" s="44">
        <v>45148.92</v>
      </c>
      <c r="G44" s="44">
        <f t="shared" si="22"/>
        <v>88992.6</v>
      </c>
      <c r="H44" s="48">
        <f t="shared" si="23"/>
        <v>134141.52</v>
      </c>
      <c r="I44" s="44">
        <f t="shared" si="24"/>
        <v>4158.47999999998</v>
      </c>
    </row>
    <row r="45" spans="1:9">
      <c r="A45" s="41" t="s">
        <v>271</v>
      </c>
      <c r="B45" s="44">
        <v>11194818.11</v>
      </c>
      <c r="C45" s="44">
        <v>9259149.4</v>
      </c>
      <c r="D45" s="44">
        <f>(C45/7)*5-5000000</f>
        <v>1613678.14285714</v>
      </c>
      <c r="E45" s="43">
        <f t="shared" si="21"/>
        <v>10872827.5428571</v>
      </c>
      <c r="F45" s="44">
        <v>4719938.64</v>
      </c>
      <c r="G45" s="44">
        <f t="shared" si="22"/>
        <v>6152888.90285714</v>
      </c>
      <c r="H45" s="48">
        <f t="shared" si="23"/>
        <v>10872827.5428571</v>
      </c>
      <c r="I45" s="44">
        <f t="shared" si="24"/>
        <v>321990.567142855</v>
      </c>
    </row>
    <row r="46" spans="1:9">
      <c r="A46" s="45" t="s">
        <v>272</v>
      </c>
      <c r="B46" s="46">
        <v>15000</v>
      </c>
      <c r="C46" s="46">
        <v>0</v>
      </c>
      <c r="D46" s="46">
        <v>12000</v>
      </c>
      <c r="E46" s="47">
        <f t="shared" si="21"/>
        <v>12000</v>
      </c>
      <c r="F46" s="46">
        <v>0</v>
      </c>
      <c r="G46" s="46">
        <f t="shared" si="22"/>
        <v>12000</v>
      </c>
      <c r="H46" s="46">
        <f t="shared" si="23"/>
        <v>12000</v>
      </c>
      <c r="I46" s="46">
        <f t="shared" si="24"/>
        <v>3000</v>
      </c>
    </row>
    <row r="47" spans="1:9">
      <c r="A47" s="45" t="s">
        <v>273</v>
      </c>
      <c r="B47" s="46">
        <v>10000</v>
      </c>
      <c r="C47" s="46">
        <v>0</v>
      </c>
      <c r="D47" s="46">
        <v>0</v>
      </c>
      <c r="E47" s="47">
        <v>0</v>
      </c>
      <c r="F47" s="46">
        <v>0</v>
      </c>
      <c r="G47" s="46">
        <v>0</v>
      </c>
      <c r="H47" s="46">
        <v>0</v>
      </c>
      <c r="I47" s="46">
        <v>10000</v>
      </c>
    </row>
    <row r="48" spans="1:9">
      <c r="A48" s="51" t="s">
        <v>274</v>
      </c>
      <c r="B48" s="52">
        <v>505000</v>
      </c>
      <c r="C48" s="52">
        <v>380882.59</v>
      </c>
      <c r="D48" s="52">
        <v>30000</v>
      </c>
      <c r="E48" s="53">
        <f>C48+D48</f>
        <v>410882.59</v>
      </c>
      <c r="F48" s="52">
        <v>208200.2</v>
      </c>
      <c r="G48" s="52">
        <f>E48-F48</f>
        <v>202682.39</v>
      </c>
      <c r="H48" s="52">
        <f>F48+G48</f>
        <v>410882.59</v>
      </c>
      <c r="I48" s="52">
        <f>B48-H48</f>
        <v>94117.41</v>
      </c>
    </row>
    <row r="49" spans="1:9">
      <c r="A49" s="41" t="s">
        <v>275</v>
      </c>
      <c r="B49" s="44">
        <v>15500</v>
      </c>
      <c r="C49" s="44">
        <v>0</v>
      </c>
      <c r="D49" s="44">
        <v>0</v>
      </c>
      <c r="E49" s="43">
        <f>C49+D49</f>
        <v>0</v>
      </c>
      <c r="F49" s="44">
        <f>C49</f>
        <v>0</v>
      </c>
      <c r="G49" s="44">
        <f>E49-F49</f>
        <v>0</v>
      </c>
      <c r="H49" s="48">
        <f>F49+G49</f>
        <v>0</v>
      </c>
      <c r="I49" s="44">
        <f>B49-H49</f>
        <v>15500</v>
      </c>
    </row>
    <row r="50" spans="1:9">
      <c r="A50" s="41" t="s">
        <v>276</v>
      </c>
      <c r="B50" s="44">
        <v>80000</v>
      </c>
      <c r="C50" s="44">
        <v>64000</v>
      </c>
      <c r="D50" s="44">
        <v>0</v>
      </c>
      <c r="E50" s="43">
        <f t="shared" ref="E50:E53" si="26">C50+D50</f>
        <v>64000</v>
      </c>
      <c r="F50" s="44">
        <v>12890</v>
      </c>
      <c r="G50" s="44">
        <f t="shared" ref="G50:G53" si="27">E50-F50</f>
        <v>51110</v>
      </c>
      <c r="H50" s="48">
        <f t="shared" ref="H50:H53" si="28">F50+G50</f>
        <v>64000</v>
      </c>
      <c r="I50" s="44">
        <f t="shared" ref="I50:I53" si="29">B50-H50</f>
        <v>16000</v>
      </c>
    </row>
    <row r="51" spans="1:9">
      <c r="A51" s="41" t="s">
        <v>277</v>
      </c>
      <c r="B51" s="44">
        <v>2865130</v>
      </c>
      <c r="C51" s="44">
        <v>1581465</v>
      </c>
      <c r="D51" s="44">
        <f>229092.5*5</f>
        <v>1145462.5</v>
      </c>
      <c r="E51" s="43">
        <f t="shared" si="26"/>
        <v>2726927.5</v>
      </c>
      <c r="F51" s="44">
        <v>1579612.5</v>
      </c>
      <c r="G51" s="44">
        <f t="shared" si="27"/>
        <v>1147315</v>
      </c>
      <c r="H51" s="48">
        <f t="shared" si="28"/>
        <v>2726927.5</v>
      </c>
      <c r="I51" s="44">
        <f t="shared" si="29"/>
        <v>138202.5</v>
      </c>
    </row>
    <row r="52" spans="1:9">
      <c r="A52" s="41" t="s">
        <v>278</v>
      </c>
      <c r="B52" s="44">
        <v>918650</v>
      </c>
      <c r="C52" s="44">
        <v>910889.45</v>
      </c>
      <c r="D52" s="44">
        <v>30000</v>
      </c>
      <c r="E52" s="43">
        <f t="shared" si="26"/>
        <v>940889.45</v>
      </c>
      <c r="F52" s="44">
        <v>434883.93</v>
      </c>
      <c r="G52" s="44">
        <f t="shared" si="27"/>
        <v>506005.52</v>
      </c>
      <c r="H52" s="48">
        <f t="shared" si="28"/>
        <v>940889.45</v>
      </c>
      <c r="I52" s="52">
        <f t="shared" si="29"/>
        <v>-22239.45</v>
      </c>
    </row>
    <row r="53" spans="1:9">
      <c r="A53" s="41" t="s">
        <v>279</v>
      </c>
      <c r="B53" s="44">
        <v>72800</v>
      </c>
      <c r="C53" s="44">
        <v>20416.67</v>
      </c>
      <c r="D53" s="44">
        <f>(C53/7)*5</f>
        <v>14583.3357142857</v>
      </c>
      <c r="E53" s="43">
        <f t="shared" si="26"/>
        <v>35000.0057142857</v>
      </c>
      <c r="F53" s="44">
        <f>C53</f>
        <v>20416.67</v>
      </c>
      <c r="G53" s="44">
        <f t="shared" si="27"/>
        <v>14583.3357142857</v>
      </c>
      <c r="H53" s="48">
        <f t="shared" si="28"/>
        <v>35000.0057142857</v>
      </c>
      <c r="I53" s="44">
        <f t="shared" si="29"/>
        <v>37799.9942857143</v>
      </c>
    </row>
    <row r="54" spans="1:9">
      <c r="A54" s="41" t="s">
        <v>280</v>
      </c>
      <c r="B54" s="44">
        <v>265000</v>
      </c>
      <c r="C54" s="44">
        <v>146311.54</v>
      </c>
      <c r="D54" s="44">
        <f>(C54/7)*5</f>
        <v>104508.242857143</v>
      </c>
      <c r="E54" s="43">
        <f t="shared" ref="E54:E57" si="30">C54+D54</f>
        <v>250819.782857143</v>
      </c>
      <c r="F54" s="44">
        <v>140721.13</v>
      </c>
      <c r="G54" s="44">
        <f t="shared" ref="G54:G57" si="31">E54-F54</f>
        <v>110098.652857143</v>
      </c>
      <c r="H54" s="48">
        <f t="shared" ref="H54:H57" si="32">F54+G54</f>
        <v>250819.782857143</v>
      </c>
      <c r="I54" s="44">
        <f t="shared" ref="I54:I57" si="33">B54-H54</f>
        <v>14180.2171428571</v>
      </c>
    </row>
    <row r="55" spans="1:9">
      <c r="A55" s="41" t="s">
        <v>243</v>
      </c>
      <c r="B55" s="44">
        <v>30000</v>
      </c>
      <c r="C55" s="44">
        <v>0</v>
      </c>
      <c r="D55" s="44">
        <v>0</v>
      </c>
      <c r="E55" s="43">
        <f t="shared" si="30"/>
        <v>0</v>
      </c>
      <c r="F55" s="44">
        <f>C55</f>
        <v>0</v>
      </c>
      <c r="G55" s="44">
        <f t="shared" si="31"/>
        <v>0</v>
      </c>
      <c r="H55" s="48">
        <f t="shared" si="32"/>
        <v>0</v>
      </c>
      <c r="I55" s="44">
        <f t="shared" si="33"/>
        <v>30000</v>
      </c>
    </row>
    <row r="56" spans="1:10">
      <c r="A56" s="41" t="s">
        <v>281</v>
      </c>
      <c r="B56" s="44">
        <v>1000</v>
      </c>
      <c r="C56" s="44">
        <v>0</v>
      </c>
      <c r="D56" s="44">
        <f>(C56/4)*8</f>
        <v>0</v>
      </c>
      <c r="E56" s="43">
        <f t="shared" si="30"/>
        <v>0</v>
      </c>
      <c r="F56" s="44">
        <f>C56</f>
        <v>0</v>
      </c>
      <c r="G56" s="44">
        <f t="shared" si="31"/>
        <v>0</v>
      </c>
      <c r="H56" s="48">
        <f t="shared" si="32"/>
        <v>0</v>
      </c>
      <c r="I56" s="44">
        <f t="shared" si="33"/>
        <v>1000</v>
      </c>
      <c r="J56" s="29" t="s">
        <v>282</v>
      </c>
    </row>
    <row r="57" spans="1:9">
      <c r="A57" s="41" t="s">
        <v>242</v>
      </c>
      <c r="B57" s="44">
        <v>299100</v>
      </c>
      <c r="C57" s="44">
        <v>144424.73</v>
      </c>
      <c r="D57" s="44">
        <f>(C57/7)*5</f>
        <v>103160.521428571</v>
      </c>
      <c r="E57" s="43">
        <f t="shared" si="30"/>
        <v>247585.251428571</v>
      </c>
      <c r="F57" s="44">
        <v>139969.06</v>
      </c>
      <c r="G57" s="44">
        <f t="shared" si="31"/>
        <v>107616.191428571</v>
      </c>
      <c r="H57" s="48">
        <f t="shared" si="32"/>
        <v>247585.251428571</v>
      </c>
      <c r="I57" s="44">
        <f t="shared" si="33"/>
        <v>51514.7485714286</v>
      </c>
    </row>
    <row r="58" spans="1:9">
      <c r="A58" s="45" t="s">
        <v>283</v>
      </c>
      <c r="B58" s="46">
        <v>100</v>
      </c>
      <c r="C58" s="46">
        <v>0</v>
      </c>
      <c r="D58" s="46">
        <f>(C58/4)*8</f>
        <v>0</v>
      </c>
      <c r="E58" s="47">
        <f t="shared" ref="E58:E59" si="34">C58+D58</f>
        <v>0</v>
      </c>
      <c r="F58" s="46">
        <v>0</v>
      </c>
      <c r="G58" s="46">
        <f t="shared" ref="G58:G59" si="35">E58-F58</f>
        <v>0</v>
      </c>
      <c r="H58" s="46">
        <f t="shared" ref="H58:H59" si="36">F58+G58</f>
        <v>0</v>
      </c>
      <c r="I58" s="46">
        <f t="shared" ref="I58:I59" si="37">B58-H58</f>
        <v>100</v>
      </c>
    </row>
    <row r="59" spans="1:9">
      <c r="A59" s="54" t="s">
        <v>284</v>
      </c>
      <c r="B59" s="44">
        <v>889400</v>
      </c>
      <c r="C59" s="44">
        <v>826880</v>
      </c>
      <c r="D59" s="44">
        <v>50000</v>
      </c>
      <c r="E59" s="43">
        <f t="shared" si="34"/>
        <v>876880</v>
      </c>
      <c r="F59" s="44">
        <v>521765.18</v>
      </c>
      <c r="G59" s="44">
        <f t="shared" si="35"/>
        <v>355114.82</v>
      </c>
      <c r="H59" s="48">
        <f t="shared" si="36"/>
        <v>876880</v>
      </c>
      <c r="I59" s="44">
        <f t="shared" si="37"/>
        <v>12520</v>
      </c>
    </row>
    <row r="60" spans="1:9">
      <c r="A60" s="39" t="s">
        <v>285</v>
      </c>
      <c r="B60" s="40">
        <f t="shared" ref="B60:I60" si="38">B61+B71+B74</f>
        <v>21157842.82</v>
      </c>
      <c r="C60" s="40">
        <f t="shared" si="38"/>
        <v>10058826.33</v>
      </c>
      <c r="D60" s="40">
        <f t="shared" si="38"/>
        <v>5332043.43857143</v>
      </c>
      <c r="E60" s="40">
        <f t="shared" si="38"/>
        <v>15390869.7685714</v>
      </c>
      <c r="F60" s="40">
        <f t="shared" si="38"/>
        <v>8008097.6</v>
      </c>
      <c r="G60" s="40">
        <f t="shared" si="38"/>
        <v>7382772.16857143</v>
      </c>
      <c r="H60" s="40">
        <f t="shared" si="38"/>
        <v>15390869.7685714</v>
      </c>
      <c r="I60" s="40">
        <f t="shared" si="38"/>
        <v>5766973.05142857</v>
      </c>
    </row>
    <row r="61" spans="1:9">
      <c r="A61" s="36" t="s">
        <v>286</v>
      </c>
      <c r="B61" s="37">
        <f t="shared" ref="B61:I61" si="39">SUM(B62:B66)+B68</f>
        <v>20570342.82</v>
      </c>
      <c r="C61" s="37">
        <f t="shared" si="39"/>
        <v>9550002.56</v>
      </c>
      <c r="D61" s="37">
        <f t="shared" si="39"/>
        <v>5245303.22428571</v>
      </c>
      <c r="E61" s="55">
        <f t="shared" si="39"/>
        <v>14795305.7842857</v>
      </c>
      <c r="F61" s="37">
        <f t="shared" si="39"/>
        <v>7583523.35</v>
      </c>
      <c r="G61" s="37">
        <f t="shared" si="39"/>
        <v>7211782.43428571</v>
      </c>
      <c r="H61" s="37">
        <f t="shared" si="39"/>
        <v>14795305.7842857</v>
      </c>
      <c r="I61" s="37">
        <f t="shared" si="39"/>
        <v>5775037.03571429</v>
      </c>
    </row>
    <row r="62" spans="1:9">
      <c r="A62" s="41" t="s">
        <v>287</v>
      </c>
      <c r="B62" s="42">
        <v>73988.87</v>
      </c>
      <c r="C62" s="42">
        <v>73888.87</v>
      </c>
      <c r="D62" s="42">
        <v>0</v>
      </c>
      <c r="E62" s="43">
        <f>C62+D62</f>
        <v>73888.87</v>
      </c>
      <c r="F62" s="42">
        <v>73888.87</v>
      </c>
      <c r="G62" s="42">
        <f>E62-F62</f>
        <v>0</v>
      </c>
      <c r="H62" s="43">
        <f>F62+G62</f>
        <v>73888.87</v>
      </c>
      <c r="I62" s="44">
        <f>B62-H62</f>
        <v>100</v>
      </c>
    </row>
    <row r="63" spans="1:9">
      <c r="A63" s="41" t="s">
        <v>288</v>
      </c>
      <c r="B63" s="42">
        <v>25833.84</v>
      </c>
      <c r="C63" s="42">
        <v>25733.84</v>
      </c>
      <c r="D63" s="42">
        <v>0</v>
      </c>
      <c r="E63" s="43">
        <f>C63+D63</f>
        <v>25733.84</v>
      </c>
      <c r="F63" s="42">
        <v>25733.84</v>
      </c>
      <c r="G63" s="42">
        <v>0</v>
      </c>
      <c r="H63" s="43">
        <f>F63+G63</f>
        <v>25733.84</v>
      </c>
      <c r="I63" s="44">
        <f>B63-H63</f>
        <v>100</v>
      </c>
    </row>
    <row r="64" spans="1:9">
      <c r="A64" s="54" t="s">
        <v>289</v>
      </c>
      <c r="B64" s="44">
        <v>17646833.87</v>
      </c>
      <c r="C64" s="44">
        <v>9330720.16</v>
      </c>
      <c r="D64" s="44">
        <f>(C64/7)*5-1469496.89</f>
        <v>5195303.22428571</v>
      </c>
      <c r="E64" s="43">
        <f t="shared" ref="E64:E69" si="40">C64+D64</f>
        <v>14526023.3842857</v>
      </c>
      <c r="F64" s="42">
        <v>7374767.12</v>
      </c>
      <c r="G64" s="42">
        <f t="shared" ref="G64:G69" si="41">E64-F64</f>
        <v>7151256.26428571</v>
      </c>
      <c r="H64" s="43">
        <f t="shared" ref="H64:H69" si="42">F64+G64</f>
        <v>14526023.3842857</v>
      </c>
      <c r="I64" s="44">
        <f t="shared" ref="I64:I69" si="43">B64-H64</f>
        <v>3120810.48571429</v>
      </c>
    </row>
    <row r="65" spans="1:9">
      <c r="A65" s="54" t="s">
        <v>290</v>
      </c>
      <c r="B65" s="44">
        <v>2819937.72</v>
      </c>
      <c r="C65" s="44">
        <v>119659.69</v>
      </c>
      <c r="D65" s="44">
        <v>50000</v>
      </c>
      <c r="E65" s="43">
        <f t="shared" si="40"/>
        <v>169659.69</v>
      </c>
      <c r="F65" s="42">
        <v>109133.52</v>
      </c>
      <c r="G65" s="42">
        <f t="shared" si="41"/>
        <v>60526.17</v>
      </c>
      <c r="H65" s="43">
        <f t="shared" si="42"/>
        <v>169659.69</v>
      </c>
      <c r="I65" s="44">
        <f t="shared" si="43"/>
        <v>2650278.03</v>
      </c>
    </row>
    <row r="66" spans="1:9">
      <c r="A66" s="54" t="s">
        <v>291</v>
      </c>
      <c r="B66" s="44">
        <v>3748.52</v>
      </c>
      <c r="C66" s="44">
        <v>0</v>
      </c>
      <c r="D66" s="44">
        <v>0</v>
      </c>
      <c r="E66" s="43">
        <f t="shared" si="40"/>
        <v>0</v>
      </c>
      <c r="F66" s="42">
        <v>0</v>
      </c>
      <c r="G66" s="42">
        <f t="shared" si="41"/>
        <v>0</v>
      </c>
      <c r="H66" s="43">
        <f t="shared" si="42"/>
        <v>0</v>
      </c>
      <c r="I66" s="44">
        <f t="shared" si="43"/>
        <v>3748.52</v>
      </c>
    </row>
    <row r="67" spans="1:9">
      <c r="A67" s="54"/>
      <c r="B67" s="44"/>
      <c r="C67" s="44"/>
      <c r="D67" s="44"/>
      <c r="E67" s="43"/>
      <c r="F67" s="44"/>
      <c r="G67" s="44"/>
      <c r="H67" s="48"/>
      <c r="I67" s="44"/>
    </row>
    <row r="68" spans="1:9">
      <c r="A68" s="36" t="s">
        <v>292</v>
      </c>
      <c r="B68" s="37">
        <f t="shared" ref="B68:I68" si="44">B69</f>
        <v>0</v>
      </c>
      <c r="C68" s="37">
        <f t="shared" si="44"/>
        <v>0</v>
      </c>
      <c r="D68" s="37">
        <f t="shared" si="44"/>
        <v>0</v>
      </c>
      <c r="E68" s="37">
        <f t="shared" si="44"/>
        <v>0</v>
      </c>
      <c r="F68" s="37">
        <f t="shared" si="44"/>
        <v>0</v>
      </c>
      <c r="G68" s="37">
        <f t="shared" si="44"/>
        <v>0</v>
      </c>
      <c r="H68" s="37">
        <f t="shared" si="44"/>
        <v>0</v>
      </c>
      <c r="I68" s="37">
        <f t="shared" si="44"/>
        <v>0</v>
      </c>
    </row>
    <row r="69" spans="1:9">
      <c r="A69" s="54" t="s">
        <v>290</v>
      </c>
      <c r="B69" s="44">
        <v>0</v>
      </c>
      <c r="C69" s="44">
        <v>0</v>
      </c>
      <c r="D69" s="44">
        <v>0</v>
      </c>
      <c r="E69" s="43">
        <f t="shared" si="40"/>
        <v>0</v>
      </c>
      <c r="F69" s="42">
        <v>0</v>
      </c>
      <c r="G69" s="42">
        <f t="shared" si="41"/>
        <v>0</v>
      </c>
      <c r="H69" s="43">
        <f t="shared" si="42"/>
        <v>0</v>
      </c>
      <c r="I69" s="44">
        <f t="shared" si="43"/>
        <v>0</v>
      </c>
    </row>
    <row r="70" spans="1:9">
      <c r="A70" s="54"/>
      <c r="B70" s="44"/>
      <c r="C70" s="44"/>
      <c r="D70" s="44"/>
      <c r="E70" s="43"/>
      <c r="F70" s="44"/>
      <c r="G70" s="44"/>
      <c r="H70" s="48"/>
      <c r="I70" s="44"/>
    </row>
    <row r="71" spans="1:9">
      <c r="A71" s="36" t="s">
        <v>293</v>
      </c>
      <c r="B71" s="37">
        <f t="shared" ref="B71:I71" si="45">B72</f>
        <v>200000</v>
      </c>
      <c r="C71" s="37">
        <f t="shared" si="45"/>
        <v>121436.3</v>
      </c>
      <c r="D71" s="37">
        <f t="shared" si="45"/>
        <v>86740.2142857143</v>
      </c>
      <c r="E71" s="38">
        <f t="shared" ref="E69:E72" si="46">C71+D71</f>
        <v>208176.514285714</v>
      </c>
      <c r="F71" s="37">
        <f t="shared" si="45"/>
        <v>109436.3</v>
      </c>
      <c r="G71" s="37">
        <f t="shared" si="45"/>
        <v>98740.2142857143</v>
      </c>
      <c r="H71" s="38">
        <f t="shared" si="45"/>
        <v>208176.514285714</v>
      </c>
      <c r="I71" s="37">
        <f t="shared" si="45"/>
        <v>-8176.51428571431</v>
      </c>
    </row>
    <row r="72" spans="1:9">
      <c r="A72" s="54" t="s">
        <v>294</v>
      </c>
      <c r="B72" s="44">
        <v>200000</v>
      </c>
      <c r="C72" s="44">
        <v>121436.3</v>
      </c>
      <c r="D72" s="44">
        <f>C72/7*5</f>
        <v>86740.2142857143</v>
      </c>
      <c r="E72" s="43">
        <f t="shared" si="46"/>
        <v>208176.514285714</v>
      </c>
      <c r="F72" s="44">
        <v>109436.3</v>
      </c>
      <c r="G72" s="44">
        <f t="shared" ref="G72:G76" si="47">E72-F72</f>
        <v>98740.2142857143</v>
      </c>
      <c r="H72" s="48">
        <f t="shared" ref="H72:H76" si="48">F72+G72</f>
        <v>208176.514285714</v>
      </c>
      <c r="I72" s="44">
        <f t="shared" ref="I72:I76" si="49">B72-H72</f>
        <v>-8176.51428571431</v>
      </c>
    </row>
    <row r="73" spans="1:9">
      <c r="A73" s="54"/>
      <c r="B73" s="44"/>
      <c r="C73" s="44"/>
      <c r="D73" s="44"/>
      <c r="E73" s="43"/>
      <c r="F73" s="44"/>
      <c r="G73" s="44"/>
      <c r="H73" s="48"/>
      <c r="I73" s="44"/>
    </row>
    <row r="74" spans="1:9">
      <c r="A74" s="36" t="s">
        <v>295</v>
      </c>
      <c r="B74" s="37">
        <f t="shared" ref="B74:H74" si="50">B75+B76+B77</f>
        <v>387500</v>
      </c>
      <c r="C74" s="37">
        <f t="shared" si="50"/>
        <v>387387.47</v>
      </c>
      <c r="D74" s="37">
        <f t="shared" si="50"/>
        <v>0</v>
      </c>
      <c r="E74" s="38">
        <f t="shared" ref="E74:E76" si="51">C74+D74</f>
        <v>387387.47</v>
      </c>
      <c r="F74" s="37">
        <f t="shared" si="50"/>
        <v>315137.95</v>
      </c>
      <c r="G74" s="37">
        <f t="shared" si="50"/>
        <v>72249.52</v>
      </c>
      <c r="H74" s="38">
        <f t="shared" si="50"/>
        <v>387387.47</v>
      </c>
      <c r="I74" s="37">
        <f>I75+I76</f>
        <v>112.530000000028</v>
      </c>
    </row>
    <row r="75" spans="1:9">
      <c r="A75" s="41" t="s">
        <v>296</v>
      </c>
      <c r="B75" s="42">
        <v>387500</v>
      </c>
      <c r="C75" s="42">
        <v>387387.47</v>
      </c>
      <c r="D75" s="42">
        <v>0</v>
      </c>
      <c r="E75" s="43">
        <f t="shared" si="51"/>
        <v>387387.47</v>
      </c>
      <c r="F75" s="42">
        <v>315137.95</v>
      </c>
      <c r="G75" s="42">
        <f t="shared" si="47"/>
        <v>72249.52</v>
      </c>
      <c r="H75" s="43">
        <f t="shared" si="48"/>
        <v>387387.47</v>
      </c>
      <c r="I75" s="44">
        <f t="shared" si="49"/>
        <v>112.530000000028</v>
      </c>
    </row>
    <row r="76" spans="1:9">
      <c r="A76" s="41" t="s">
        <v>243</v>
      </c>
      <c r="B76" s="42">
        <v>0</v>
      </c>
      <c r="C76" s="42">
        <v>0</v>
      </c>
      <c r="D76" s="42">
        <v>0</v>
      </c>
      <c r="E76" s="43">
        <f t="shared" si="51"/>
        <v>0</v>
      </c>
      <c r="F76" s="42">
        <v>0</v>
      </c>
      <c r="G76" s="42">
        <f t="shared" si="47"/>
        <v>0</v>
      </c>
      <c r="H76" s="43">
        <f t="shared" si="48"/>
        <v>0</v>
      </c>
      <c r="I76" s="44">
        <f t="shared" si="49"/>
        <v>0</v>
      </c>
    </row>
    <row r="77" spans="1:9">
      <c r="A77" s="41"/>
      <c r="B77" s="42"/>
      <c r="C77" s="42"/>
      <c r="D77" s="42"/>
      <c r="E77" s="43"/>
      <c r="F77" s="42"/>
      <c r="G77" s="42"/>
      <c r="H77" s="43"/>
      <c r="I77" s="42"/>
    </row>
    <row r="78" spans="1:9">
      <c r="A78" s="54"/>
      <c r="B78" s="44"/>
      <c r="C78" s="44"/>
      <c r="D78" s="44"/>
      <c r="E78" s="43"/>
      <c r="F78" s="44"/>
      <c r="G78" s="42"/>
      <c r="H78" s="48"/>
      <c r="I78" s="44"/>
    </row>
    <row r="79" spans="1:9">
      <c r="A79" s="36" t="s">
        <v>297</v>
      </c>
      <c r="B79" s="37">
        <v>4235000</v>
      </c>
      <c r="C79" s="37">
        <v>0</v>
      </c>
      <c r="D79" s="37">
        <v>0</v>
      </c>
      <c r="E79" s="43">
        <f>C79+D79</f>
        <v>0</v>
      </c>
      <c r="F79" s="44">
        <v>0</v>
      </c>
      <c r="G79" s="42">
        <f>E79-F79</f>
        <v>0</v>
      </c>
      <c r="H79" s="48">
        <f>F79+G79</f>
        <v>0</v>
      </c>
      <c r="I79" s="44">
        <f>B79-H79</f>
        <v>4235000</v>
      </c>
    </row>
    <row r="80" spans="1:9">
      <c r="A80" s="36" t="s">
        <v>298</v>
      </c>
      <c r="B80" s="37">
        <v>10000</v>
      </c>
      <c r="C80" s="37">
        <v>0</v>
      </c>
      <c r="D80" s="37">
        <v>0</v>
      </c>
      <c r="E80" s="43">
        <f>C80+D80</f>
        <v>0</v>
      </c>
      <c r="F80" s="44">
        <v>0</v>
      </c>
      <c r="G80" s="42">
        <f>E80-F80</f>
        <v>0</v>
      </c>
      <c r="H80" s="48">
        <f>F80+G80</f>
        <v>0</v>
      </c>
      <c r="I80" s="44">
        <f>B80-H80</f>
        <v>10000</v>
      </c>
    </row>
    <row r="81" spans="2:9">
      <c r="B81" s="59"/>
      <c r="C81" s="60"/>
      <c r="D81" s="60"/>
      <c r="E81" s="61"/>
      <c r="F81" s="62"/>
      <c r="G81" s="62"/>
      <c r="H81" s="61"/>
      <c r="I81" s="71"/>
    </row>
    <row r="82" spans="1:9">
      <c r="A82" s="63" t="s">
        <v>215</v>
      </c>
      <c r="B82" s="64">
        <f t="shared" ref="B82:I82" si="52">B3+B60+B79+B80</f>
        <v>106986350.49</v>
      </c>
      <c r="C82" s="65">
        <f t="shared" si="52"/>
        <v>58051970.83</v>
      </c>
      <c r="D82" s="65">
        <f t="shared" si="52"/>
        <v>33815431.2821428</v>
      </c>
      <c r="E82" s="66">
        <f t="shared" si="52"/>
        <v>91867402.1121428</v>
      </c>
      <c r="F82" s="67">
        <f t="shared" si="52"/>
        <v>47933281.64</v>
      </c>
      <c r="G82" s="67">
        <f t="shared" si="52"/>
        <v>43934120.4721428</v>
      </c>
      <c r="H82" s="66">
        <f t="shared" si="52"/>
        <v>91867402.1121428</v>
      </c>
      <c r="I82" s="72">
        <f t="shared" si="52"/>
        <v>15118948.3778571</v>
      </c>
    </row>
    <row r="83" spans="2:8">
      <c r="B83" s="68"/>
      <c r="C83" s="68"/>
      <c r="D83" s="68"/>
      <c r="E83" s="68"/>
      <c r="F83" s="68"/>
      <c r="G83" s="68"/>
      <c r="H83" s="68"/>
    </row>
    <row r="84" spans="2:8">
      <c r="B84" s="68"/>
      <c r="C84" s="68"/>
      <c r="D84" s="68"/>
      <c r="E84" s="68"/>
      <c r="F84" s="68"/>
      <c r="G84" s="68"/>
      <c r="H84" s="68"/>
    </row>
    <row r="85" spans="2:8">
      <c r="B85" s="68"/>
      <c r="C85" s="68"/>
      <c r="D85" s="68"/>
      <c r="E85" s="68"/>
      <c r="F85" s="68"/>
      <c r="G85" s="68"/>
      <c r="H85" s="68"/>
    </row>
    <row r="86" spans="2:8">
      <c r="B86" s="68"/>
      <c r="C86" s="68"/>
      <c r="D86" s="68"/>
      <c r="E86" s="68"/>
      <c r="F86" s="68"/>
      <c r="G86" s="68"/>
      <c r="H86" s="68"/>
    </row>
    <row r="87" spans="2:8">
      <c r="B87" s="68"/>
      <c r="C87" s="68"/>
      <c r="D87" s="68"/>
      <c r="E87" s="68"/>
      <c r="F87" s="68"/>
      <c r="G87" s="68"/>
      <c r="H87" s="68"/>
    </row>
    <row r="88" spans="2:8">
      <c r="B88" s="68"/>
      <c r="C88" s="68"/>
      <c r="D88" s="68"/>
      <c r="E88" s="68"/>
      <c r="F88" s="68"/>
      <c r="G88" s="68"/>
      <c r="H88" s="68"/>
    </row>
    <row r="89" spans="2:8">
      <c r="B89" s="68"/>
      <c r="C89" s="68"/>
      <c r="D89" s="68"/>
      <c r="E89" s="68"/>
      <c r="F89" s="68"/>
      <c r="G89" s="68"/>
      <c r="H89" s="68"/>
    </row>
    <row r="90" spans="2:8">
      <c r="B90" s="68"/>
      <c r="C90" s="68"/>
      <c r="D90" s="68"/>
      <c r="E90" s="68"/>
      <c r="F90" s="68"/>
      <c r="G90" s="68"/>
      <c r="H90" s="68"/>
    </row>
    <row r="91" spans="2:8">
      <c r="B91" s="68"/>
      <c r="C91" s="68"/>
      <c r="D91" s="68"/>
      <c r="E91" s="68"/>
      <c r="F91" s="68"/>
      <c r="G91" s="68"/>
      <c r="H91" s="68"/>
    </row>
    <row r="92" spans="2:8">
      <c r="B92" s="68"/>
      <c r="C92" s="68"/>
      <c r="D92" s="68"/>
      <c r="E92" s="68"/>
      <c r="F92" s="68"/>
      <c r="G92" s="68"/>
      <c r="H92" s="68"/>
    </row>
    <row r="93" spans="2:8">
      <c r="B93" s="68"/>
      <c r="C93" s="68"/>
      <c r="D93" s="68"/>
      <c r="E93" s="68"/>
      <c r="F93" s="68"/>
      <c r="G93" s="68"/>
      <c r="H93" s="68"/>
    </row>
    <row r="94" spans="2:8">
      <c r="B94" s="68"/>
      <c r="C94" s="68"/>
      <c r="D94" s="68"/>
      <c r="E94" s="68"/>
      <c r="F94" s="68"/>
      <c r="G94" s="68"/>
      <c r="H94" s="68"/>
    </row>
    <row r="95" spans="2:8">
      <c r="B95" s="68"/>
      <c r="C95" s="68"/>
      <c r="D95" s="68"/>
      <c r="E95" s="68"/>
      <c r="F95" s="68"/>
      <c r="G95" s="68"/>
      <c r="H95" s="68"/>
    </row>
    <row r="96" spans="2:8">
      <c r="B96" s="68"/>
      <c r="C96" s="68"/>
      <c r="D96" s="68" t="s">
        <v>216</v>
      </c>
      <c r="E96" s="68"/>
      <c r="F96" s="68"/>
      <c r="G96" s="68"/>
      <c r="H96" s="68"/>
    </row>
    <row r="97" spans="2:8">
      <c r="B97" s="68"/>
      <c r="C97" s="68"/>
      <c r="D97" s="68"/>
      <c r="E97" s="68"/>
      <c r="F97" s="68"/>
      <c r="G97" s="68"/>
      <c r="H97" s="68"/>
    </row>
    <row r="98" spans="2:8">
      <c r="B98" s="68"/>
      <c r="C98" s="69" t="s">
        <v>299</v>
      </c>
      <c r="D98" s="70">
        <f>H8+H9+H12+H35+H41+H46+H47</f>
        <v>11058196.25</v>
      </c>
      <c r="F98" s="29" t="s">
        <v>300</v>
      </c>
      <c r="G98" s="70">
        <f>D98-D99</f>
        <v>-4271803.75</v>
      </c>
      <c r="H98" s="68"/>
    </row>
    <row r="99" spans="2:8">
      <c r="B99" s="68"/>
      <c r="C99" s="69" t="s">
        <v>301</v>
      </c>
      <c r="D99" s="70">
        <f>B8+B9+B12+B35+B41+B46+B58+B79+B47</f>
        <v>15330000</v>
      </c>
      <c r="H99" s="68"/>
    </row>
    <row r="100" spans="2:8">
      <c r="B100" s="68"/>
      <c r="C100" s="68"/>
      <c r="D100" s="68"/>
      <c r="E100" s="68"/>
      <c r="F100" s="68"/>
      <c r="G100" s="68"/>
      <c r="H100" s="68"/>
    </row>
    <row r="101" spans="2:8">
      <c r="B101" s="68"/>
      <c r="C101" s="68"/>
      <c r="D101" s="68"/>
      <c r="E101" s="68"/>
      <c r="F101" s="68"/>
      <c r="G101" s="68"/>
      <c r="H101" s="68"/>
    </row>
    <row r="102" spans="2:8">
      <c r="B102" s="68"/>
      <c r="C102" s="68"/>
      <c r="D102" s="68"/>
      <c r="E102" s="68"/>
      <c r="F102" s="68"/>
      <c r="G102" s="68"/>
      <c r="H102" s="68"/>
    </row>
    <row r="103" spans="2:8">
      <c r="B103" s="68"/>
      <c r="C103" s="68"/>
      <c r="D103" s="68"/>
      <c r="E103" s="68"/>
      <c r="F103" s="68"/>
      <c r="G103" s="68"/>
      <c r="H103" s="68"/>
    </row>
    <row r="104" spans="2:8">
      <c r="B104" s="68"/>
      <c r="C104" s="68"/>
      <c r="D104" s="68"/>
      <c r="E104" s="68"/>
      <c r="F104" s="68"/>
      <c r="G104" s="68"/>
      <c r="H104" s="68"/>
    </row>
    <row r="105" spans="2:8">
      <c r="B105" s="68"/>
      <c r="C105" s="68"/>
      <c r="D105" s="68"/>
      <c r="E105" s="68"/>
      <c r="F105" s="68"/>
      <c r="G105" s="68"/>
      <c r="H105" s="68"/>
    </row>
    <row r="106" spans="2:8">
      <c r="B106" s="68"/>
      <c r="C106" s="68"/>
      <c r="D106" s="68"/>
      <c r="E106" s="68"/>
      <c r="F106" s="68"/>
      <c r="G106" s="68"/>
      <c r="H106" s="68"/>
    </row>
    <row r="107" spans="2:8">
      <c r="B107" s="68"/>
      <c r="C107" s="68"/>
      <c r="D107" s="68"/>
      <c r="E107" s="68"/>
      <c r="F107" s="68"/>
      <c r="G107" s="68"/>
      <c r="H107" s="68"/>
    </row>
    <row r="108" spans="2:8">
      <c r="B108" s="68"/>
      <c r="C108" s="68"/>
      <c r="D108" s="68"/>
      <c r="E108" s="68"/>
      <c r="F108" s="68"/>
      <c r="G108" s="68"/>
      <c r="H108" s="68"/>
    </row>
    <row r="109" spans="2:8">
      <c r="B109" s="68"/>
      <c r="C109" s="68"/>
      <c r="D109" s="68"/>
      <c r="E109" s="68"/>
      <c r="F109" s="68"/>
      <c r="G109" s="68"/>
      <c r="H109" s="68"/>
    </row>
    <row r="110" spans="2:8">
      <c r="B110" s="68"/>
      <c r="C110" s="68"/>
      <c r="D110" s="68"/>
      <c r="E110" s="68"/>
      <c r="F110" s="68"/>
      <c r="G110" s="68"/>
      <c r="H110" s="68"/>
    </row>
    <row r="111" spans="2:8">
      <c r="B111" s="68"/>
      <c r="C111" s="68"/>
      <c r="D111" s="68"/>
      <c r="E111" s="68"/>
      <c r="F111" s="68"/>
      <c r="G111" s="68"/>
      <c r="H111" s="68"/>
    </row>
    <row r="112" spans="2:8">
      <c r="B112" s="68"/>
      <c r="C112" s="68"/>
      <c r="D112" s="68"/>
      <c r="E112" s="68"/>
      <c r="F112" s="68"/>
      <c r="G112" s="68"/>
      <c r="H112" s="68"/>
    </row>
    <row r="113" spans="2:8">
      <c r="B113" s="68"/>
      <c r="C113" s="68"/>
      <c r="D113" s="68"/>
      <c r="E113" s="68"/>
      <c r="F113" s="68"/>
      <c r="G113" s="68"/>
      <c r="H113" s="68"/>
    </row>
    <row r="114" spans="2:8">
      <c r="B114" s="68"/>
      <c r="C114" s="68"/>
      <c r="D114" s="68"/>
      <c r="E114" s="68"/>
      <c r="F114" s="68"/>
      <c r="G114" s="68"/>
      <c r="H114" s="68"/>
    </row>
    <row r="115" spans="2:8">
      <c r="B115" s="68"/>
      <c r="C115" s="68"/>
      <c r="D115" s="68"/>
      <c r="E115" s="68"/>
      <c r="F115" s="68"/>
      <c r="G115" s="68"/>
      <c r="H115" s="68"/>
    </row>
    <row r="116" spans="2:8">
      <c r="B116" s="68"/>
      <c r="C116" s="68"/>
      <c r="D116" s="68"/>
      <c r="E116" s="68"/>
      <c r="F116" s="68"/>
      <c r="G116" s="68"/>
      <c r="H116" s="68"/>
    </row>
    <row r="117" spans="2:8">
      <c r="B117" s="68"/>
      <c r="C117" s="68"/>
      <c r="D117" s="68"/>
      <c r="E117" s="68"/>
      <c r="F117" s="68"/>
      <c r="G117" s="68"/>
      <c r="H117" s="68"/>
    </row>
  </sheetData>
  <mergeCells count="1">
    <mergeCell ref="A1:H1"/>
  </mergeCells>
  <pageMargins left="0.4" right="0.339583333333333" top="0.419444444444444" bottom="0.489583333333333" header="0.269444444444444" footer="0.491666666666667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showGridLines="0" zoomScale="80" zoomScaleNormal="80" workbookViewId="0">
      <selection activeCell="H4" sqref="H4"/>
    </sheetView>
  </sheetViews>
  <sheetFormatPr defaultColWidth="9" defaultRowHeight="12.75"/>
  <cols>
    <col min="1" max="1" width="28.5714285714286" style="1" customWidth="1"/>
    <col min="2" max="2" width="13.5714285714286" style="1" customWidth="1"/>
    <col min="3" max="3" width="10.8571428571429" style="1" customWidth="1"/>
    <col min="4" max="4" width="11.2857142857143" style="1" customWidth="1"/>
    <col min="5" max="6" width="15.2857142857143" style="1" customWidth="1"/>
    <col min="7" max="7" width="15.5714285714286" style="1" customWidth="1"/>
    <col min="8" max="8" width="16.5714285714286" style="1" customWidth="1"/>
    <col min="9" max="16379" width="9.14285714285714" style="1"/>
    <col min="16380" max="16384" width="9" style="1"/>
  </cols>
  <sheetData>
    <row r="2" spans="1:8">
      <c r="A2" s="2"/>
      <c r="B2" s="2"/>
      <c r="C2" s="2"/>
      <c r="D2" s="2"/>
      <c r="E2" s="2"/>
      <c r="F2" s="2"/>
      <c r="G2" s="2"/>
      <c r="H2" s="2"/>
    </row>
    <row r="3" ht="54.75" customHeight="1" spans="1:8">
      <c r="A3" s="3" t="s">
        <v>302</v>
      </c>
      <c r="B3" s="4" t="s">
        <v>303</v>
      </c>
      <c r="C3" s="5" t="s">
        <v>304</v>
      </c>
      <c r="D3" s="5" t="s">
        <v>305</v>
      </c>
      <c r="E3" s="6" t="s">
        <v>306</v>
      </c>
      <c r="F3" s="5" t="s">
        <v>307</v>
      </c>
      <c r="G3" s="5" t="s">
        <v>308</v>
      </c>
      <c r="H3" s="5" t="s">
        <v>309</v>
      </c>
    </row>
    <row r="4" customHeight="1" spans="1:8">
      <c r="A4" s="7" t="s">
        <v>310</v>
      </c>
      <c r="B4" s="8">
        <f>847895.85+1518114.91</f>
        <v>2366010.76</v>
      </c>
      <c r="C4" s="8">
        <f>1186130.2+847895.95</f>
        <v>2034026.15</v>
      </c>
      <c r="D4" s="9">
        <v>244420.25</v>
      </c>
      <c r="E4" s="10">
        <f>C4-D4</f>
        <v>1789605.9</v>
      </c>
      <c r="F4" s="8">
        <v>0</v>
      </c>
      <c r="G4" s="8">
        <v>0</v>
      </c>
      <c r="H4" s="8">
        <f>E4+F4+G4</f>
        <v>1789605.9</v>
      </c>
    </row>
    <row r="5" customHeight="1" spans="1:8">
      <c r="A5" s="7" t="s">
        <v>311</v>
      </c>
      <c r="B5" s="11">
        <v>387387.48</v>
      </c>
      <c r="C5" s="8">
        <v>72249.53</v>
      </c>
      <c r="D5" s="11">
        <f>24083.18*3-0.01</f>
        <v>72249.53</v>
      </c>
      <c r="E5" s="10">
        <f>C5-D5</f>
        <v>0</v>
      </c>
      <c r="F5" s="11">
        <v>0</v>
      </c>
      <c r="G5" s="8">
        <v>0</v>
      </c>
      <c r="H5" s="8">
        <f>E5+F5+G5</f>
        <v>0</v>
      </c>
    </row>
    <row r="6" customHeight="1" spans="1:8">
      <c r="A6" s="3" t="s">
        <v>312</v>
      </c>
      <c r="B6" s="12">
        <f>SUM(B4:B5)</f>
        <v>2753398.24</v>
      </c>
      <c r="C6" s="12">
        <f>SUM(C4:C5)</f>
        <v>2106275.68</v>
      </c>
      <c r="D6" s="12">
        <f>SUM(D4:D5)</f>
        <v>316669.78</v>
      </c>
      <c r="E6" s="13">
        <f>SUM(E4:E4)</f>
        <v>1789605.9</v>
      </c>
      <c r="F6" s="13">
        <v>0</v>
      </c>
      <c r="G6" s="12">
        <f>SUM(G4:G4)</f>
        <v>0</v>
      </c>
      <c r="H6" s="12">
        <f>SUM(H4:H5)</f>
        <v>1789605.9</v>
      </c>
    </row>
    <row r="7" spans="1:8">
      <c r="A7" s="14" t="s">
        <v>313</v>
      </c>
      <c r="B7" s="15"/>
      <c r="C7" s="15"/>
      <c r="D7" s="15"/>
      <c r="E7" s="15"/>
      <c r="F7" s="15"/>
      <c r="G7" s="16"/>
      <c r="H7" s="17">
        <v>0</v>
      </c>
    </row>
    <row r="8" spans="1:8">
      <c r="A8" s="18" t="s">
        <v>215</v>
      </c>
      <c r="B8" s="15"/>
      <c r="C8" s="15"/>
      <c r="D8" s="15"/>
      <c r="E8" s="15"/>
      <c r="F8" s="15"/>
      <c r="G8" s="16"/>
      <c r="H8" s="17">
        <f>H6+H7</f>
        <v>1789605.9</v>
      </c>
    </row>
    <row r="9" spans="1:1">
      <c r="A9" s="19"/>
    </row>
    <row r="10" spans="3:8">
      <c r="C10" s="20"/>
      <c r="D10" s="20"/>
      <c r="F10" s="21" t="s">
        <v>314</v>
      </c>
      <c r="G10" s="22"/>
      <c r="H10" s="23"/>
    </row>
    <row r="11" spans="3:8">
      <c r="C11" s="20"/>
      <c r="F11" s="24" t="s">
        <v>315</v>
      </c>
      <c r="G11" s="25"/>
      <c r="H11" s="26"/>
    </row>
    <row r="13" spans="6:9">
      <c r="F13" s="27"/>
      <c r="G13" s="27"/>
      <c r="H13" s="27"/>
      <c r="I13" s="27"/>
    </row>
    <row r="14" spans="6:9">
      <c r="F14" s="28"/>
      <c r="G14" s="27"/>
      <c r="H14" s="27"/>
      <c r="I14" s="27"/>
    </row>
  </sheetData>
  <mergeCells count="1">
    <mergeCell ref="A2:H2"/>
  </mergeCells>
  <printOptions horizontalCentered="1"/>
  <pageMargins left="0.196527777777778" right="0.235416666666667" top="0.984027777777778" bottom="0.984027777777778" header="0.511805555555556" footer="0.511805555555556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05555555556" right="0.511805555555556" top="0.786805555555556" bottom="0.786805555555556" header="0.314583333333333" footer="0.31458333333333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05555555556" right="0.511805555555556" top="0.786805555555556" bottom="0.786805555555556" header="0.314583333333333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05555555556" right="0.511805555555556" top="0.786805555555556" bottom="0.786805555555556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Receita reestimada julho 2023</vt:lpstr>
      <vt:lpstr>Desp reestimada -liquid.-julho </vt:lpstr>
      <vt:lpstr>Dívida consolidada (2)</vt:lpstr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simone.kaefer</cp:lastModifiedBy>
  <dcterms:created xsi:type="dcterms:W3CDTF">2006-09-25T12:47:00Z</dcterms:created>
  <dcterms:modified xsi:type="dcterms:W3CDTF">2023-08-17T19:51:42Z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1046-11.2.0.8641</vt:lpwstr>
  </property>
</Properties>
</file>